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Medfinansiering" sheetId="29" r:id="rId8"/>
    <sheet name="Pristalsregulering" sheetId="27" r:id="rId9"/>
  </sheets>
  <calcPr calcId="145621"/>
</workbook>
</file>

<file path=xl/calcChain.xml><?xml version="1.0" encoding="utf-8"?>
<calcChain xmlns="http://schemas.openxmlformats.org/spreadsheetml/2006/main">
  <c r="B7" i="12" l="1"/>
  <c r="G3" i="20"/>
  <c r="B8" i="12" s="1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B12" i="12" l="1"/>
  <c r="M2" i="18" l="1"/>
  <c r="C8" i="27" l="1"/>
  <c r="C9" i="27"/>
  <c r="E2" i="15" l="1"/>
  <c r="E4" i="16" l="1"/>
  <c r="D3" i="16"/>
  <c r="E3" i="16"/>
  <c r="G3" i="16" l="1"/>
  <c r="F3" i="17"/>
  <c r="G3" i="17"/>
  <c r="D4" i="16" l="1"/>
  <c r="F3" i="16" s="1"/>
  <c r="G3" i="24"/>
  <c r="K3" i="24" s="1"/>
  <c r="H3" i="24"/>
  <c r="I3" i="24"/>
  <c r="F3" i="24"/>
  <c r="B11" i="12"/>
  <c r="B13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E6" i="16"/>
  <c r="E5" i="16"/>
  <c r="G5" i="17"/>
  <c r="F4" i="17"/>
  <c r="E5" i="17"/>
  <c r="G4" i="17"/>
  <c r="E4" i="17"/>
  <c r="F5" i="17"/>
  <c r="D5" i="16"/>
  <c r="J3" i="24"/>
  <c r="D6" i="16"/>
  <c r="M3" i="24" l="1"/>
  <c r="B9" i="12" s="1"/>
  <c r="B10" i="12" s="1"/>
  <c r="H3" i="17"/>
  <c r="B4" i="12" s="1"/>
  <c r="I2" i="15"/>
  <c r="K2" i="15" s="1"/>
  <c r="B2" i="12" s="1"/>
  <c r="H3" i="16" l="1"/>
  <c r="B3" i="12" s="1"/>
  <c r="B5" i="12" s="1"/>
  <c r="B15" i="12" l="1"/>
  <c r="B17" i="12" s="1"/>
</calcChain>
</file>

<file path=xl/sharedStrings.xml><?xml version="1.0" encoding="utf-8"?>
<sst xmlns="http://schemas.openxmlformats.org/spreadsheetml/2006/main" count="116" uniqueCount="79">
  <si>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</si>
  <si>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</si>
  <si>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</si>
  <si>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</si>
  <si>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</si>
  <si>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</si>
  <si>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</si>
  <si>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</si>
  <si>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</si>
  <si>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</si>
  <si>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</si>
  <si>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</si>
  <si>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</si>
  <si>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</si>
  <si>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</si>
  <si>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</si>
  <si>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</si>
  <si>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</si>
  <si>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</si>
  <si>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</si>
  <si>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</si>
  <si>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</si>
  <si>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Fejlkoblingsanalyser</t>
  </si>
  <si>
    <t>Klima tiltag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</si>
  <si>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</si>
  <si>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</si>
  <si>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</si>
  <si>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</si>
  <si>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</si>
  <si>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</si>
  <si>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</si>
  <si>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</si>
  <si>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</si>
  <si>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</si>
  <si>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</si>
  <si>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</si>
  <si>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</si>
  <si>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</si>
  <si>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</si>
  <si>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</si>
  <si>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</si>
  <si>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</si>
  <si>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</si>
  <si>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</si>
  <si>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</si>
  <si>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</si>
  <si>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</si>
  <si>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</si>
  <si>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</si>
  <si>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</si>
  <si>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Medfinansiering af klimaprojekter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</si>
  <si>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</si>
  <si>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</si>
  <si>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</si>
  <si>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</si>
  <si>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</si>
  <si>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</si>
  <si>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</si>
  <si>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Projektnavn</t>
  </si>
  <si>
    <t>Tillæg i 2015-priser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</si>
  <si>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</si>
  <si>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</si>
  <si>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</si>
  <si>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</si>
  <si>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</si>
  <si>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</si>
  <si>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</si>
  <si>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</si>
  <si>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</si>
  <si>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</si>
  <si>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</si>
  <si>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</si>
  <si>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</si>
  <si>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</si>
  <si>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</si>
  <si>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Oversvømmelsesområde Kratbjerg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</si>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</sst>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3" fillId="0" borderId="24" xfId="0" applyNumberFormat="1" applyFont="1" applyFill="1" applyBorder="1"/>
    <xf numFmtId="0" fontId="0" fillId="0" borderId="0" xfId="0" applyFont="1" applyBorder="1" applyAlignment="1">
      <alignment wrapText="1"/>
    </xf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4" fontId="3" fillId="0" borderId="28" xfId="27368" applyNumberFormat="1" applyFont="1" applyBorder="1"/>
    <xf numFmtId="0" fontId="0" fillId="0" borderId="28" xfId="0" applyBorder="1"/>
    <xf numFmtId="0" fontId="0" fillId="0" borderId="28" xfId="0" applyFont="1" applyBorder="1" applyAlignment="1">
      <alignment wrapText="1"/>
    </xf>
    <xf numFmtId="164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4" fillId="0" borderId="0" xfId="0" applyFont="1" applyFill="1" applyAlignment="1">
      <alignment horizontal="left"/>
    </xf>
    <xf numFmtId="164" fontId="4" fillId="0" borderId="0" xfId="27368" applyNumberFormat="1" applyFont="1" applyFill="1" applyAlignment="1">
      <alignment horizontal="left"/>
    </xf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0" fillId="0" borderId="0" xfId="27368" applyNumberFormat="1" applyFont="1" applyBorder="1" applyAlignment="1">
      <alignment wrapText="1"/>
    </xf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18791147.858348001</v>
      </c>
      <c r="C2" t="s">
        <v>11</v>
      </c>
    </row>
    <row r="3" spans="1:3" s="2" customFormat="1" x14ac:dyDescent="0.25">
      <c r="A3" s="5" t="s">
        <v>8</v>
      </c>
      <c r="B3" s="36">
        <f>'Miljø- og servicemål'!H3</f>
        <v>1508000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117798.35346666665</v>
      </c>
      <c r="C4" t="s">
        <v>11</v>
      </c>
    </row>
    <row r="5" spans="1:3" s="26" customFormat="1" x14ac:dyDescent="0.25">
      <c r="A5" s="3" t="s">
        <v>12</v>
      </c>
      <c r="B5" s="48">
        <f>SUM(B2:B4)</f>
        <v>20416946.211814668</v>
      </c>
      <c r="C5" s="62" t="s">
        <v>11</v>
      </c>
    </row>
    <row r="6" spans="1:3" x14ac:dyDescent="0.25">
      <c r="A6" s="47" t="s">
        <v>0</v>
      </c>
      <c r="B6" s="38">
        <f>Investeringer!E3</f>
        <v>30798718.607205831</v>
      </c>
      <c r="C6" s="23" t="s">
        <v>11</v>
      </c>
    </row>
    <row r="7" spans="1:3" x14ac:dyDescent="0.25">
      <c r="A7" s="4" t="s">
        <v>1</v>
      </c>
      <c r="B7" s="35">
        <f>Investeringer!F3</f>
        <v>7843062.7934698081</v>
      </c>
      <c r="C7" t="s">
        <v>11</v>
      </c>
    </row>
    <row r="8" spans="1:3" x14ac:dyDescent="0.25">
      <c r="A8" s="4" t="s">
        <v>2</v>
      </c>
      <c r="B8" s="35">
        <f>Investeringer!G3</f>
        <v>882333.33333333337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2519628.8602666664</v>
      </c>
      <c r="C9" t="s">
        <v>11</v>
      </c>
    </row>
    <row r="10" spans="1:3" s="22" customFormat="1" x14ac:dyDescent="0.25">
      <c r="A10" s="3" t="s">
        <v>48</v>
      </c>
      <c r="B10" s="48">
        <f>SUM(B6:B9)</f>
        <v>42043743.594275638</v>
      </c>
      <c r="C10" s="62" t="s">
        <v>11</v>
      </c>
    </row>
    <row r="11" spans="1:3" s="22" customFormat="1" x14ac:dyDescent="0.25">
      <c r="A11" s="4" t="s">
        <v>10</v>
      </c>
      <c r="B11" s="35">
        <f>'Ikke-påvirkelige omkostninger'!M2</f>
        <v>4659363</v>
      </c>
      <c r="C11" t="s">
        <v>11</v>
      </c>
    </row>
    <row r="12" spans="1:3" s="22" customFormat="1" x14ac:dyDescent="0.25">
      <c r="A12" s="4" t="s">
        <v>50</v>
      </c>
      <c r="B12" s="35">
        <f>SUM(Medfinansiering!B:B)</f>
        <v>206373.75</v>
      </c>
      <c r="C12" s="22" t="s">
        <v>11</v>
      </c>
    </row>
    <row r="13" spans="1:3" s="22" customFormat="1" x14ac:dyDescent="0.25">
      <c r="A13" s="3" t="s">
        <v>72</v>
      </c>
      <c r="B13" s="48">
        <f>SUM(B11:B12)</f>
        <v>4865736.75</v>
      </c>
      <c r="C13" s="62" t="s">
        <v>11</v>
      </c>
    </row>
    <row r="14" spans="1:3" x14ac:dyDescent="0.25">
      <c r="A14" s="1"/>
      <c r="B14" s="35"/>
    </row>
    <row r="15" spans="1:3" ht="15.75" thickBot="1" x14ac:dyDescent="0.3">
      <c r="A15" s="27" t="s">
        <v>61</v>
      </c>
      <c r="B15" s="37">
        <f>SUM(B5,B10,B13)</f>
        <v>67326426.55609031</v>
      </c>
      <c r="C15" s="27" t="s">
        <v>3</v>
      </c>
    </row>
    <row r="16" spans="1:3" ht="15.75" thickTop="1" x14ac:dyDescent="0.25"/>
    <row r="17" spans="1:3" ht="15.75" thickBot="1" x14ac:dyDescent="0.3">
      <c r="A17" s="27" t="s">
        <v>53</v>
      </c>
      <c r="B17" s="37">
        <f>B15*Pristalsregulering!C8*Pristalsregulering!C9</f>
        <v>67922382.579093918</v>
      </c>
      <c r="C17" s="27" t="s">
        <v>3</v>
      </c>
    </row>
    <row r="18" spans="1:3" ht="15.75" hidden="1" thickTop="1" x14ac:dyDescent="0.25">
      <c r="B18" s="61"/>
    </row>
    <row r="19" spans="1:3" hidden="1" x14ac:dyDescent="0.25"/>
    <row r="20" spans="1:3" hidden="1" x14ac:dyDescent="0.25"/>
    <row r="21" spans="1:3" hidden="1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/>
    <row r="28" spans="1:3" hidden="1" x14ac:dyDescent="0.25"/>
    <row r="29" spans="1:3" hidden="1" x14ac:dyDescent="0.25"/>
    <row r="30" spans="1:3" hidden="1" x14ac:dyDescent="0.25"/>
    <row r="31" spans="1:3" hidden="1" x14ac:dyDescent="0.25"/>
    <row r="32" spans="1: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60" customFormat="1" ht="60.75" thickBot="1" x14ac:dyDescent="0.3">
      <c r="A1" s="58" t="s">
        <v>13</v>
      </c>
      <c r="B1" s="59" t="s">
        <v>14</v>
      </c>
      <c r="C1" s="59" t="s">
        <v>62</v>
      </c>
      <c r="D1" s="59" t="s">
        <v>63</v>
      </c>
      <c r="E1" s="59" t="s">
        <v>54</v>
      </c>
      <c r="F1" s="52" t="s">
        <v>64</v>
      </c>
      <c r="G1" s="52" t="s">
        <v>73</v>
      </c>
      <c r="H1" s="52" t="s">
        <v>65</v>
      </c>
      <c r="I1" s="52" t="s">
        <v>49</v>
      </c>
      <c r="J1" s="11" t="s">
        <v>66</v>
      </c>
      <c r="K1" s="11" t="s">
        <v>67</v>
      </c>
    </row>
    <row r="2" spans="1:11" s="23" customFormat="1" ht="15.75" thickTop="1" x14ac:dyDescent="0.25">
      <c r="A2" s="28">
        <v>2015</v>
      </c>
      <c r="B2" s="49">
        <v>18428712</v>
      </c>
      <c r="C2" s="49">
        <v>0</v>
      </c>
      <c r="D2" s="49">
        <f>B2+C2</f>
        <v>18428712</v>
      </c>
      <c r="E2" s="50">
        <f>D2</f>
        <v>18428712</v>
      </c>
      <c r="F2" s="49">
        <v>21774767.297099721</v>
      </c>
      <c r="G2" s="49">
        <v>0</v>
      </c>
      <c r="H2" s="49">
        <f>F2-G2</f>
        <v>21774767.297099721</v>
      </c>
      <c r="I2" s="49">
        <f>AVERAGEIF(E2:E4,"&lt;&gt;0")</f>
        <v>18791147.858348001</v>
      </c>
      <c r="J2" s="49">
        <v>11211864.983684985</v>
      </c>
      <c r="K2" s="39">
        <f>IF(H2&gt;I2,IF(I2&gt;J2,I2,J2),H2)</f>
        <v>18791147.858348001</v>
      </c>
    </row>
    <row r="3" spans="1:11" s="23" customFormat="1" x14ac:dyDescent="0.25">
      <c r="A3" s="28">
        <v>2014</v>
      </c>
      <c r="B3" s="49">
        <v>19422585</v>
      </c>
      <c r="C3" s="49"/>
      <c r="D3" s="49">
        <f t="shared" ref="D3:D4" si="0">B3+C3</f>
        <v>19422585</v>
      </c>
      <c r="E3" s="50">
        <f>D3*Pristalsregulering!C7</f>
        <v>19438123.068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18218537</v>
      </c>
      <c r="C4" s="49"/>
      <c r="D4" s="49">
        <f t="shared" si="0"/>
        <v>18218537</v>
      </c>
      <c r="E4" s="50">
        <f>D4*Pristalsregulering!$C$6*Pristalsregulering!$C$7</f>
        <v>18506608.507043999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2" width="30.7109375" customWidth="1"/>
    <col min="3" max="3" width="30.7109375" style="22" customWidth="1"/>
    <col min="4" max="4" width="30.7109375" style="55" customWidth="1"/>
    <col min="5" max="5" width="30.7109375" style="22" customWidth="1"/>
    <col min="6" max="6" width="30.7109375" style="55" customWidth="1"/>
    <col min="7" max="7" width="30.7109375" customWidth="1"/>
    <col min="8" max="8" width="30.7109375" style="55" customWidth="1"/>
    <col min="9" max="9" width="9.140625" hidden="1" customWidth="1"/>
    <col min="35" max="35" width="9.140625" hidden="1"/>
    <col min="38" max="38" width="9.140625" hidden="1"/>
    <col min="117" max="117" width="9.140625" hidden="1"/>
    <col min="143" max="143" width="9.140625" hidden="1"/>
    <col min="146" max="146" width="9.140625" hidden="1"/>
    <col min="149" max="149" width="9.140625" hidden="1"/>
    <col min="225" max="225" width="9.140625" hidden="1"/>
    <col min="251" max="251" width="9.140625" hidden="1"/>
    <col min="254" max="254" width="9.140625" hidden="1"/>
    <col min="257" max="257" width="9.140625" hidden="1"/>
    <col min="260" max="260" width="9.140625" hidden="1"/>
    <col min="307" max="307" width="9.140625" hidden="1"/>
    <col min="333" max="333" width="9.140625" hidden="1"/>
    <col min="336" max="336" width="9.140625" hidden="1"/>
    <col min="339" max="339" width="9.140625" hidden="1"/>
    <col min="342" max="16384" width="9.140625" hidden="1"/>
  </cols>
  <sheetData>
    <row r="1" spans="1:8" s="27" customFormat="1" ht="15.75" thickBot="1" x14ac:dyDescent="0.3">
      <c r="A1" s="9"/>
      <c r="B1" s="33" t="s">
        <v>76</v>
      </c>
      <c r="C1" s="33"/>
      <c r="D1" s="65" t="s">
        <v>77</v>
      </c>
      <c r="E1" s="10"/>
      <c r="F1" s="65" t="s">
        <v>78</v>
      </c>
      <c r="G1" s="10"/>
      <c r="H1" s="65"/>
    </row>
    <row r="2" spans="1:8" ht="15.75" thickTop="1" x14ac:dyDescent="0.25">
      <c r="A2" s="17" t="s">
        <v>13</v>
      </c>
      <c r="B2" s="34" t="s">
        <v>22</v>
      </c>
      <c r="C2" s="34" t="s">
        <v>23</v>
      </c>
      <c r="D2" s="56" t="s">
        <v>22</v>
      </c>
      <c r="E2" s="34" t="s">
        <v>23</v>
      </c>
      <c r="F2" s="56" t="s">
        <v>22</v>
      </c>
      <c r="G2" s="34" t="s">
        <v>23</v>
      </c>
      <c r="H2" s="53" t="s">
        <v>24</v>
      </c>
    </row>
    <row r="3" spans="1:8" s="22" customFormat="1" x14ac:dyDescent="0.25">
      <c r="A3" s="28">
        <v>2016</v>
      </c>
      <c r="B3" s="74">
        <v>1000000</v>
      </c>
      <c r="C3" s="74">
        <v>508000</v>
      </c>
      <c r="D3" s="45">
        <f>B3</f>
        <v>1000000</v>
      </c>
      <c r="E3" s="35">
        <f>C3</f>
        <v>508000</v>
      </c>
      <c r="F3" s="45">
        <f>IF(D4=0,0,AVERAGEIF(D4:D6,"&lt;&gt;0"))+D3</f>
        <v>1000000</v>
      </c>
      <c r="G3" s="38">
        <f>IF(E4=0,0,AVERAGEIF(E4:E6,"&lt;&gt;0"))+E3</f>
        <v>508000</v>
      </c>
      <c r="H3" s="57">
        <f>SUM(F3:G3)</f>
        <v>1508000</v>
      </c>
    </row>
    <row r="4" spans="1:8" x14ac:dyDescent="0.25">
      <c r="A4" s="28">
        <v>2015</v>
      </c>
      <c r="B4" s="35"/>
      <c r="C4" s="35"/>
      <c r="D4" s="45">
        <f>B4</f>
        <v>0</v>
      </c>
      <c r="E4" s="35">
        <f>C4</f>
        <v>0</v>
      </c>
      <c r="F4" s="45"/>
      <c r="G4" s="38"/>
      <c r="H4" s="54"/>
    </row>
    <row r="5" spans="1:8" x14ac:dyDescent="0.25">
      <c r="A5" s="28">
        <v>2014</v>
      </c>
      <c r="B5" s="35"/>
      <c r="C5" s="35"/>
      <c r="D5" s="45">
        <f>B5*Pristalsregulering!$C$7</f>
        <v>0</v>
      </c>
      <c r="E5" s="35">
        <f>C5*Pristalsregulering!$C$7</f>
        <v>0</v>
      </c>
      <c r="F5" s="45"/>
      <c r="G5" s="38"/>
      <c r="H5" s="45"/>
    </row>
    <row r="6" spans="1:8" x14ac:dyDescent="0.25">
      <c r="A6" s="28">
        <v>2013</v>
      </c>
      <c r="B6" s="35"/>
      <c r="C6" s="35"/>
      <c r="D6" s="45">
        <f>B6*Pristalsregulering!$C$7*Pristalsregulering!$C$6</f>
        <v>0</v>
      </c>
      <c r="E6" s="35">
        <f>C6*Pristalsregulering!$C$7*Pristalsregulering!$C$6</f>
        <v>0</v>
      </c>
      <c r="F6" s="45"/>
      <c r="G6" s="38"/>
      <c r="H6" s="45"/>
    </row>
    <row r="7" spans="1:8" hidden="1" x14ac:dyDescent="0.25"/>
    <row r="8" spans="1:8" hidden="1" x14ac:dyDescent="0.25"/>
    <row r="9" spans="1:8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5" t="s">
        <v>25</v>
      </c>
      <c r="C1" s="76"/>
      <c r="D1" s="76"/>
      <c r="E1" s="77" t="s">
        <v>55</v>
      </c>
      <c r="F1" s="78"/>
      <c r="G1" s="79"/>
      <c r="H1" s="29"/>
    </row>
    <row r="2" spans="1:8" s="21" customFormat="1" ht="15.75" thickTop="1" x14ac:dyDescent="0.25">
      <c r="A2" s="19" t="s">
        <v>13</v>
      </c>
      <c r="B2" s="16" t="s">
        <v>26</v>
      </c>
      <c r="C2" s="20" t="s">
        <v>27</v>
      </c>
      <c r="D2" s="20" t="s">
        <v>28</v>
      </c>
      <c r="E2" s="16" t="s">
        <v>26</v>
      </c>
      <c r="F2" s="20" t="s">
        <v>27</v>
      </c>
      <c r="G2" s="46" t="s">
        <v>28</v>
      </c>
      <c r="H2" s="6" t="s">
        <v>30</v>
      </c>
    </row>
    <row r="3" spans="1:8" x14ac:dyDescent="0.25">
      <c r="A3" s="31">
        <v>2015</v>
      </c>
      <c r="B3" s="41">
        <v>31500</v>
      </c>
      <c r="C3" s="42">
        <v>103520</v>
      </c>
      <c r="D3" s="42">
        <v>0</v>
      </c>
      <c r="E3" s="41">
        <f>B3</f>
        <v>31500</v>
      </c>
      <c r="F3" s="42">
        <f t="shared" ref="F3:G3" si="0">C3</f>
        <v>103520</v>
      </c>
      <c r="G3" s="43">
        <f t="shared" si="0"/>
        <v>0</v>
      </c>
      <c r="H3" s="44">
        <f>IF(E3=0,0,AVERAGEIF(E3:E5,"&lt;&gt;0"))+IF(F3=0,0,AVERAGEIF(F3:F5,"&lt;&gt;0"))+IF(G3=0,0,AVERAGEIF(G3:G5,"&lt;&gt;0"))</f>
        <v>117798.35346666665</v>
      </c>
    </row>
    <row r="4" spans="1:8" x14ac:dyDescent="0.25">
      <c r="A4" s="31">
        <v>2014</v>
      </c>
      <c r="B4" s="41">
        <v>31500</v>
      </c>
      <c r="C4" s="42">
        <v>78400</v>
      </c>
      <c r="D4" s="42">
        <v>0</v>
      </c>
      <c r="E4" s="41">
        <f>B4*Pristalsregulering!$C$7</f>
        <v>31525.199999999997</v>
      </c>
      <c r="F4" s="42">
        <f>C4*Pristalsregulering!$C$7</f>
        <v>78462.719999999987</v>
      </c>
      <c r="G4" s="43">
        <f>D4*Pristalsregulering!$C$7</f>
        <v>0</v>
      </c>
      <c r="H4" s="42"/>
    </row>
    <row r="5" spans="1:8" x14ac:dyDescent="0.25">
      <c r="A5" s="31">
        <v>2013</v>
      </c>
      <c r="B5" s="41">
        <v>31500</v>
      </c>
      <c r="C5" s="42">
        <v>75200</v>
      </c>
      <c r="D5" s="42">
        <v>0</v>
      </c>
      <c r="E5" s="41">
        <f>B5*Pristalsregulering!$C$7*Pristalsregulering!$C$6</f>
        <v>31998.077999999994</v>
      </c>
      <c r="F5" s="42">
        <f>C5*Pristalsregulering!$C$7*Pristalsregulering!$C$6</f>
        <v>76389.062399999981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2" customFormat="1" ht="15.75" thickBot="1" x14ac:dyDescent="0.3">
      <c r="A1" s="73"/>
      <c r="B1" s="78" t="s">
        <v>70</v>
      </c>
      <c r="C1" s="78"/>
      <c r="D1" s="79"/>
      <c r="E1" s="80" t="s">
        <v>71</v>
      </c>
      <c r="F1" s="80"/>
      <c r="G1" s="80"/>
    </row>
    <row r="2" spans="1:7" s="22" customFormat="1" ht="15.75" thickTop="1" x14ac:dyDescent="0.25">
      <c r="A2" s="71" t="s">
        <v>13</v>
      </c>
      <c r="B2" s="23" t="s">
        <v>68</v>
      </c>
      <c r="C2" s="23" t="s">
        <v>1</v>
      </c>
      <c r="D2" s="28" t="s">
        <v>69</v>
      </c>
      <c r="E2" s="22" t="s">
        <v>0</v>
      </c>
      <c r="F2" s="22" t="s">
        <v>1</v>
      </c>
      <c r="G2" s="22" t="s">
        <v>2</v>
      </c>
    </row>
    <row r="3" spans="1:7" s="22" customFormat="1" x14ac:dyDescent="0.25">
      <c r="A3" s="72">
        <v>2015</v>
      </c>
      <c r="B3" s="38">
        <v>28289471.741336625</v>
      </c>
      <c r="C3" s="38">
        <v>7644273.661666668</v>
      </c>
      <c r="D3" s="40">
        <v>882333.33333333337</v>
      </c>
      <c r="E3" s="35">
        <f>B3*Pristalsregulering!C2*Pristalsregulering!C3*Pristalsregulering!C4*Pristalsregulering!C5*Pristalsregulering!C6*Pristalsregulering!C7</f>
        <v>30798718.607205831</v>
      </c>
      <c r="F3" s="35">
        <v>7843062.7934698081</v>
      </c>
      <c r="G3" s="35">
        <f>D3</f>
        <v>882333.33333333337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70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5" t="s">
        <v>41</v>
      </c>
      <c r="C1" s="76"/>
      <c r="D1" s="76"/>
      <c r="E1" s="76"/>
      <c r="F1" s="77" t="s">
        <v>56</v>
      </c>
      <c r="G1" s="78"/>
      <c r="H1" s="78"/>
      <c r="I1" s="78"/>
      <c r="J1" s="81" t="s">
        <v>30</v>
      </c>
      <c r="K1" s="80"/>
      <c r="L1" s="82"/>
      <c r="M1" s="13"/>
    </row>
    <row r="2" spans="1:14" s="26" customFormat="1" ht="15.75" thickTop="1" x14ac:dyDescent="0.25">
      <c r="A2" s="19" t="s">
        <v>13</v>
      </c>
      <c r="B2" s="8" t="s">
        <v>42</v>
      </c>
      <c r="C2" s="7" t="s">
        <v>43</v>
      </c>
      <c r="D2" s="7" t="s">
        <v>44</v>
      </c>
      <c r="E2" s="51" t="s">
        <v>45</v>
      </c>
      <c r="F2" s="7" t="s">
        <v>42</v>
      </c>
      <c r="G2" s="7" t="s">
        <v>43</v>
      </c>
      <c r="H2" s="7" t="s">
        <v>44</v>
      </c>
      <c r="I2" s="51" t="s">
        <v>45</v>
      </c>
      <c r="J2" s="20" t="s">
        <v>46</v>
      </c>
      <c r="K2" s="20" t="s">
        <v>43</v>
      </c>
      <c r="L2" s="15" t="s">
        <v>74</v>
      </c>
      <c r="M2" s="6" t="s">
        <v>29</v>
      </c>
      <c r="N2" s="32"/>
    </row>
    <row r="3" spans="1:14" x14ac:dyDescent="0.25">
      <c r="A3" s="28">
        <v>2015</v>
      </c>
      <c r="B3" s="45">
        <v>72236</v>
      </c>
      <c r="C3" s="38">
        <v>2347273</v>
      </c>
      <c r="D3" s="38">
        <v>0</v>
      </c>
      <c r="E3" s="40">
        <v>0</v>
      </c>
      <c r="F3" s="38">
        <f>B3</f>
        <v>72236</v>
      </c>
      <c r="G3" s="38">
        <f>C3</f>
        <v>2347273</v>
      </c>
      <c r="H3" s="38">
        <f>D3</f>
        <v>0</v>
      </c>
      <c r="I3" s="40">
        <f>E3</f>
        <v>0</v>
      </c>
      <c r="J3" s="42">
        <f>AVERAGE(F3:F5)</f>
        <v>48176.59626666666</v>
      </c>
      <c r="K3" s="42">
        <f>G3</f>
        <v>2347273</v>
      </c>
      <c r="L3" s="43">
        <f>AVERAGE(H3:H5)+AVERAGE(I3:I5)</f>
        <v>124179.26399999998</v>
      </c>
      <c r="M3" s="44">
        <f>SUM(J3:L3)</f>
        <v>2519628.8602666664</v>
      </c>
      <c r="N3" s="23"/>
    </row>
    <row r="4" spans="1:14" x14ac:dyDescent="0.25">
      <c r="A4" s="28">
        <v>2014</v>
      </c>
      <c r="B4" s="45">
        <v>72236</v>
      </c>
      <c r="C4" s="38">
        <v>2300245</v>
      </c>
      <c r="D4" s="38">
        <v>372240</v>
      </c>
      <c r="E4" s="40">
        <v>0</v>
      </c>
      <c r="F4" s="38">
        <f>IF(B4="","",B4*Pristalsregulering!$C$7)</f>
        <v>72293.788799999995</v>
      </c>
      <c r="G4" s="38">
        <f>IF(C4="","",C4*Pristalsregulering!$C$7)</f>
        <v>2302085.196</v>
      </c>
      <c r="H4" s="38">
        <f>IF(D4="","",D4*Pristalsregulering!$C$7)</f>
        <v>372537.79199999996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2607702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2648934.9840239994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8" t="s">
        <v>31</v>
      </c>
      <c r="C1" s="68" t="s">
        <v>32</v>
      </c>
      <c r="D1" s="68" t="s">
        <v>33</v>
      </c>
      <c r="E1" s="68" t="s">
        <v>34</v>
      </c>
      <c r="F1" s="68" t="s">
        <v>35</v>
      </c>
      <c r="G1" s="68" t="s">
        <v>36</v>
      </c>
      <c r="H1" s="68" t="s">
        <v>37</v>
      </c>
      <c r="I1" s="68" t="s">
        <v>38</v>
      </c>
      <c r="J1" s="68" t="s">
        <v>39</v>
      </c>
      <c r="K1" s="68" t="s">
        <v>57</v>
      </c>
      <c r="L1" s="69" t="s">
        <v>40</v>
      </c>
      <c r="M1" s="14" t="s">
        <v>29</v>
      </c>
    </row>
    <row r="2" spans="1:13" ht="15.75" thickTop="1" x14ac:dyDescent="0.25">
      <c r="A2" s="31">
        <v>2015</v>
      </c>
      <c r="B2" s="42">
        <v>32523</v>
      </c>
      <c r="C2" s="42">
        <v>0</v>
      </c>
      <c r="D2" s="42">
        <v>225083</v>
      </c>
      <c r="E2" s="42">
        <v>3698838</v>
      </c>
      <c r="F2" s="42">
        <v>0</v>
      </c>
      <c r="G2" s="42">
        <v>0</v>
      </c>
      <c r="H2" s="42">
        <v>702919</v>
      </c>
      <c r="I2" s="42">
        <v>0</v>
      </c>
      <c r="J2" s="42"/>
      <c r="K2" s="42"/>
      <c r="L2" s="43">
        <v>0</v>
      </c>
      <c r="M2" s="44">
        <f>SUM(B2:L2)</f>
        <v>4659363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47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47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28"/>
  <sheetViews>
    <sheetView workbookViewId="0"/>
  </sheetViews>
  <sheetFormatPr defaultColWidth="0" defaultRowHeight="15" zeroHeight="1" x14ac:dyDescent="0.25"/>
  <cols>
    <col min="1" max="1" width="38.85546875" customWidth="1"/>
    <col min="2" max="2" width="18" style="35" bestFit="1" customWidth="1"/>
    <col min="3" max="16384" width="9.140625" hidden="1"/>
  </cols>
  <sheetData>
    <row r="1" spans="1:2" x14ac:dyDescent="0.25">
      <c r="A1" s="63" t="s">
        <v>58</v>
      </c>
      <c r="B1" s="64" t="s">
        <v>59</v>
      </c>
    </row>
    <row r="2" spans="1:2" x14ac:dyDescent="0.25">
      <c r="A2" s="23" t="s">
        <v>75</v>
      </c>
      <c r="B2" s="35">
        <v>206373.75</v>
      </c>
    </row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</sheetData>
  <sheetProtection password="C6BD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6" t="s">
        <v>60</v>
      </c>
      <c r="B2" s="67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51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52</v>
      </c>
      <c r="B9" s="25">
        <v>1.2699999999999999E-2</v>
      </c>
      <c r="C9" s="23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Medfinansiering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2016-11-11T16:23:17Z</dcterms:modified>
</cp:coreProperties>
</file>