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E4" i="16" l="1"/>
  <c r="D3" i="16"/>
  <c r="E3" i="16"/>
  <c r="F3" i="17" l="1"/>
  <c r="G3" i="17"/>
  <c r="D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3" i="16" s="1"/>
  <c r="G5" i="17"/>
  <c r="F4" i="17"/>
  <c r="E5" i="17"/>
  <c r="G4" i="17"/>
  <c r="E4" i="17"/>
  <c r="F5" i="17"/>
  <c r="J3" i="24"/>
  <c r="D5" i="16"/>
  <c r="D6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<sst xmlns="http://schemas.openxmlformats.org/spreadsheetml/2006/main" count="125" uniqueCount="88">
  <si>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</si>
  <si>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</si>
  <si>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</si>
  <si>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</si>
  <si>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</si>
  <si>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</si>
  <si>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</si>
  <si>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</si>
  <si>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</si>
  <si>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</si>
  <si>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</si>
  <si>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</si>
  <si>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</si>
  <si>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</si>
  <si>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</si>
  <si>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</si>
  <si>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</si>
  <si>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</si>
  <si>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</si>
  <si>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</si>
  <si>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</si>
  <si>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</si>
  <si>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</si>
  <si>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</si>
  <si>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</si>
  <si>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</si>
  <si>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</si>
  <si>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</si>
  <si>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</si>
  <si>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</si>
  <si>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</si>
  <si>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</si>
  <si>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</si>
  <si>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</si>
  <si>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</si>
  <si>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</si>
  <si>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</si>
  <si>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</si>
  <si>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</si>
  <si>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</si>
  <si>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</si>
  <si>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</si>
  <si>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</si>
  <si>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</si>
  <si>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</si>
  <si>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</si>
  <si>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</si>
  <si>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</si>
  <si>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</si>
  <si>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</si>
  <si>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</si>
  <si>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</si>
  <si>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</si>
  <si>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</si>
  <si>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</si>
  <si>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</si>
  <si>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</si>
  <si>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</si>
  <si>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</si>
  <si>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</si>
  <si>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</si>
  <si>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</si>
  <si>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</si>
  <si>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</si>
  <si>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</si>
  <si>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</si>
  <si>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</si>
  <si>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</si>
  <si>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</si>
  <si>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</si>
  <si>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</si>
  <si>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</si>
  <si>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</si>
  <si>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</si>
  <si>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</si>
  <si>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Helenevej</t>
  </si>
  <si>
    <t>Rådmans Steins Alle</t>
  </si>
  <si>
    <t>Lindevangsparken</t>
  </si>
  <si>
    <t>Domus Vista Park</t>
  </si>
  <si>
    <t>Prins Henriks Skole</t>
  </si>
  <si>
    <t>Ærøvej (PL16)</t>
  </si>
  <si>
    <t>Mariendalsvej (PL16)</t>
  </si>
  <si>
    <t>ZOO (PL16)</t>
  </si>
  <si>
    <t>Egernvej (PL16)</t>
  </si>
  <si>
    <t>Duevej (PL16)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</si>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</sst>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17858633.862533331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1562233.2456720001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135672.46426666665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19556539.572471995</v>
      </c>
      <c r="C5" s="62" t="s">
        <v>11</v>
      </c>
    </row>
    <row r="6" spans="1:3" x14ac:dyDescent="0.25">
      <c r="A6" s="47" t="s">
        <v>0</v>
      </c>
      <c r="B6" s="38">
        <f>Investeringer!E3</f>
        <v>18562127.049686026</v>
      </c>
      <c r="C6" s="23" t="s">
        <v>11</v>
      </c>
    </row>
    <row r="7" spans="1:3" x14ac:dyDescent="0.25">
      <c r="A7" s="4" t="s">
        <v>1</v>
      </c>
      <c r="B7" s="35">
        <f>Investeringer!F3</f>
        <v>3375952.7044059359</v>
      </c>
      <c r="C7" t="s">
        <v>11</v>
      </c>
    </row>
    <row r="8" spans="1:3" x14ac:dyDescent="0.25">
      <c r="A8" s="4" t="s">
        <v>2</v>
      </c>
      <c r="B8" s="35">
        <f>Investeringer!G3</f>
        <v>1614666.6666666667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3716456.2473946665</v>
      </c>
      <c r="C9" t="s">
        <v>11</v>
      </c>
    </row>
    <row r="10" spans="1:3" s="22" customFormat="1" x14ac:dyDescent="0.25">
      <c r="A10" s="3" t="s">
        <v>48</v>
      </c>
      <c r="B10" s="48">
        <f>SUM(B6:B9)</f>
        <v>27269202.668153297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44111854.829999998</v>
      </c>
      <c r="C11" t="s">
        <v>11</v>
      </c>
    </row>
    <row r="12" spans="1:3" s="22" customFormat="1" x14ac:dyDescent="0.25">
      <c r="A12" s="4" t="s">
        <v>50</v>
      </c>
      <c r="B12" s="35">
        <f>SUM(Medfinansiering!B:B)</f>
        <v>5638329.1200000001</v>
      </c>
      <c r="C12" s="22" t="s">
        <v>11</v>
      </c>
    </row>
    <row r="13" spans="1:3" s="22" customFormat="1" x14ac:dyDescent="0.25">
      <c r="A13" s="3" t="s">
        <v>72</v>
      </c>
      <c r="B13" s="48">
        <f>SUM(B11:B12)</f>
        <v>49750183.949999996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61</v>
      </c>
      <c r="B15" s="37">
        <f>SUM(B5,B10,B13)</f>
        <v>96575926.19062528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53</v>
      </c>
      <c r="B17" s="37">
        <f>B15*Pristalsregulering!C8*Pristalsregulering!C9</f>
        <v>97430791.17952387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54</v>
      </c>
      <c r="F1" s="52" t="s">
        <v>64</v>
      </c>
      <c r="G1" s="52" t="s">
        <v>73</v>
      </c>
      <c r="H1" s="52" t="s">
        <v>65</v>
      </c>
      <c r="I1" s="52" t="s">
        <v>49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16944422.829999998</v>
      </c>
      <c r="C2" s="49">
        <v>0</v>
      </c>
      <c r="D2" s="49">
        <f>B2+C2</f>
        <v>16944422.829999998</v>
      </c>
      <c r="E2" s="50">
        <f>D2</f>
        <v>16944422.829999998</v>
      </c>
      <c r="F2" s="49">
        <v>19085722.986334499</v>
      </c>
      <c r="G2" s="49">
        <v>0</v>
      </c>
      <c r="H2" s="49">
        <f>F2-G2</f>
        <v>19085722.986334499</v>
      </c>
      <c r="I2" s="49">
        <f>AVERAGEIF(E2:E4,"&lt;&gt;0")</f>
        <v>17858633.862533331</v>
      </c>
      <c r="J2" s="49">
        <v>17781027.407766562</v>
      </c>
      <c r="K2" s="39">
        <f>IF(H2&gt;I2,IF(I2&gt;J2,I2,J2),H2)</f>
        <v>17858633.862533331</v>
      </c>
    </row>
    <row r="3" spans="1:11" s="23" customFormat="1" x14ac:dyDescent="0.25">
      <c r="A3" s="28">
        <v>2014</v>
      </c>
      <c r="B3" s="49">
        <v>17855031.289999999</v>
      </c>
      <c r="C3" s="49"/>
      <c r="D3" s="49">
        <f t="shared" ref="D3:D4" si="0">B3+C3</f>
        <v>17855031.289999999</v>
      </c>
      <c r="E3" s="50">
        <f>D3*Pristalsregulering!C7</f>
        <v>17869315.315031998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18470114</v>
      </c>
      <c r="C4" s="49"/>
      <c r="D4" s="49">
        <f t="shared" si="0"/>
        <v>18470114</v>
      </c>
      <c r="E4" s="50">
        <f>D4*Pristalsregulering!$C$6*Pristalsregulering!$C$7</f>
        <v>18762163.442567997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34" width="0" hidden="1" customWidth="1"/>
    <col min="35" max="35" width="9.140625" hidden="1" customWidth="1"/>
    <col min="36" max="85" width="0" hidden="1" customWidth="1"/>
    <col min="86" max="86" width="9.140625" hidden="1" customWidth="1"/>
    <col min="87" max="111" width="0" hidden="1" customWidth="1"/>
    <col min="112" max="112" width="9.140625" hidden="1" customWidth="1"/>
    <col min="113" max="119" width="0" hidden="1" customWidth="1"/>
    <col min="120" max="120" width="9.140625" hidden="1" customWidth="1"/>
    <col min="121" max="145" width="0" hidden="1" customWidth="1"/>
    <col min="146" max="146" width="9.140625" hidden="1" customWidth="1"/>
    <col min="147" max="162" width="0" hidden="1" customWidth="1"/>
    <col min="163" max="163" width="9.140625" hidden="1" customWidth="1"/>
    <col min="164" max="188" width="0" hidden="1" customWidth="1"/>
    <col min="189" max="189" width="9.140625" hidden="1" customWidth="1"/>
    <col min="190" max="196" width="0" hidden="1" customWidth="1"/>
    <col min="197" max="197" width="9.140625" hidden="1" customWidth="1"/>
    <col min="198" max="222" width="0" hidden="1" customWidth="1"/>
    <col min="223" max="223" width="9.140625" hidden="1" customWidth="1"/>
    <col min="224" max="230" width="0" hidden="1" customWidth="1"/>
    <col min="231" max="231" width="9.140625" hidden="1" customWidth="1"/>
    <col min="232" max="256" width="0" hidden="1" customWidth="1"/>
    <col min="257" max="257" width="9.140625" hidden="1" customWidth="1"/>
    <col min="258" max="265" width="0" hidden="1" customWidth="1"/>
    <col min="266" max="266" width="9.140625" hidden="1" customWidth="1"/>
    <col min="267" max="273" width="0" hidden="1" customWidth="1"/>
    <col min="274" max="274" width="9.140625" hidden="1" customWidth="1"/>
    <col min="275" max="299" width="0" hidden="1" customWidth="1"/>
    <col min="300" max="300" width="9.140625" hidden="1" customWidth="1"/>
    <col min="301" max="307" width="0" hidden="1" customWidth="1"/>
    <col min="308" max="308" width="9.140625" hidden="1" customWidth="1"/>
    <col min="309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85</v>
      </c>
      <c r="C1" s="33"/>
      <c r="D1" s="65" t="s">
        <v>86</v>
      </c>
      <c r="E1" s="10"/>
      <c r="F1" s="65" t="s">
        <v>87</v>
      </c>
      <c r="G1" s="10"/>
      <c r="H1" s="65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4">
        <v>400000</v>
      </c>
      <c r="C3" s="74"/>
      <c r="D3" s="45">
        <f>B3</f>
        <v>400000</v>
      </c>
      <c r="E3" s="35">
        <f>C3</f>
        <v>0</v>
      </c>
      <c r="F3" s="45">
        <f>IF(D4=0,0,AVERAGEIF(D4:D6,"&lt;&gt;0"))+D3</f>
        <v>400000</v>
      </c>
      <c r="G3" s="38">
        <f>IF(E4=0,0,AVERAGEIF(E4:E6,"&lt;&gt;0"))+E3</f>
        <v>1162233.2456720001</v>
      </c>
      <c r="H3" s="57">
        <f>SUM(F3:G3)</f>
        <v>1562233.2456720001</v>
      </c>
    </row>
    <row r="4" spans="1:8" x14ac:dyDescent="0.25">
      <c r="A4" s="28">
        <v>2015</v>
      </c>
      <c r="B4" s="35"/>
      <c r="C4" s="35">
        <v>1332634.48</v>
      </c>
      <c r="D4" s="45">
        <f>B4</f>
        <v>0</v>
      </c>
      <c r="E4" s="35">
        <f>C4</f>
        <v>1332634.48</v>
      </c>
      <c r="F4" s="45"/>
      <c r="G4" s="38"/>
      <c r="H4" s="54"/>
    </row>
    <row r="5" spans="1:8" x14ac:dyDescent="0.25">
      <c r="A5" s="28">
        <v>2014</v>
      </c>
      <c r="B5" s="35"/>
      <c r="C5" s="35">
        <v>991039.18</v>
      </c>
      <c r="D5" s="45">
        <f>B5*Pristalsregulering!$C$7</f>
        <v>0</v>
      </c>
      <c r="E5" s="35">
        <f>C5*Pristalsregulering!$C$7</f>
        <v>991832.011344</v>
      </c>
      <c r="F5" s="45"/>
      <c r="G5" s="38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55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43800</v>
      </c>
      <c r="C3" s="42">
        <v>105020</v>
      </c>
      <c r="D3" s="42">
        <v>0</v>
      </c>
      <c r="E3" s="41">
        <f>B3</f>
        <v>43800</v>
      </c>
      <c r="F3" s="42">
        <f t="shared" ref="F3:G3" si="0">C3</f>
        <v>105020</v>
      </c>
      <c r="G3" s="43">
        <f t="shared" si="0"/>
        <v>0</v>
      </c>
      <c r="H3" s="44">
        <f>IF(E3=0,0,AVERAGEIF(E3:E5,"&lt;&gt;0"))+IF(F3=0,0,AVERAGEIF(F3:F5,"&lt;&gt;0"))+IF(G3=0,0,AVERAGEIF(G3:G5,"&lt;&gt;0"))</f>
        <v>135672.46426666665</v>
      </c>
    </row>
    <row r="4" spans="1:8" x14ac:dyDescent="0.25">
      <c r="A4" s="31">
        <v>2014</v>
      </c>
      <c r="B4" s="41">
        <v>53043</v>
      </c>
      <c r="C4" s="42">
        <v>79900</v>
      </c>
      <c r="D4" s="42">
        <v>0</v>
      </c>
      <c r="E4" s="41">
        <f>B4*Pristalsregulering!$C$7</f>
        <v>53085.434399999998</v>
      </c>
      <c r="F4" s="42">
        <f>C4*Pristalsregulering!$C$7</f>
        <v>79963.92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46500</v>
      </c>
      <c r="C5" s="42">
        <v>76700</v>
      </c>
      <c r="D5" s="42">
        <v>0</v>
      </c>
      <c r="E5" s="41">
        <f>B5*Pristalsregulering!$C$7*Pristalsregulering!$C$6</f>
        <v>47235.257999999994</v>
      </c>
      <c r="F5" s="42">
        <f>C5*Pristalsregulering!$C$7*Pristalsregulering!$C$6</f>
        <v>77912.780399999974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70</v>
      </c>
      <c r="C1" s="78"/>
      <c r="D1" s="79"/>
      <c r="E1" s="80" t="s">
        <v>71</v>
      </c>
      <c r="F1" s="80"/>
      <c r="G1" s="80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17049825.199816421</v>
      </c>
      <c r="C3" s="38">
        <v>3260576.4082999998</v>
      </c>
      <c r="D3" s="40">
        <v>1614666.6666666667</v>
      </c>
      <c r="E3" s="35">
        <f>B3*Pristalsregulering!C2*Pristalsregulering!C3*Pristalsregulering!C4*Pristalsregulering!C5*Pristalsregulering!C6*Pristalsregulering!C7</f>
        <v>18562127.049686026</v>
      </c>
      <c r="F3" s="35">
        <v>3375952.7044059359</v>
      </c>
      <c r="G3" s="35">
        <f>D3</f>
        <v>1614666.6666666667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56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74</v>
      </c>
      <c r="M2" s="6" t="s">
        <v>29</v>
      </c>
      <c r="N2" s="32"/>
    </row>
    <row r="3" spans="1:14" x14ac:dyDescent="0.25">
      <c r="A3" s="28">
        <v>2015</v>
      </c>
      <c r="B3" s="45">
        <v>280738.43</v>
      </c>
      <c r="C3" s="38">
        <v>3507987.3</v>
      </c>
      <c r="D3" s="38">
        <v>22308</v>
      </c>
      <c r="E3" s="40">
        <v>0</v>
      </c>
      <c r="F3" s="38">
        <f>B3</f>
        <v>280738.43</v>
      </c>
      <c r="G3" s="38">
        <f>C3</f>
        <v>3507987.3</v>
      </c>
      <c r="H3" s="38">
        <f>D3</f>
        <v>22308</v>
      </c>
      <c r="I3" s="40">
        <f>E3</f>
        <v>0</v>
      </c>
      <c r="J3" s="42">
        <f>AVERAGE(F3:F5)</f>
        <v>189762.73176266663</v>
      </c>
      <c r="K3" s="42">
        <f>G3</f>
        <v>3507987.3</v>
      </c>
      <c r="L3" s="43">
        <f>AVERAGE(H3:H5)+AVERAGE(I3:I5)</f>
        <v>18706.215631999996</v>
      </c>
      <c r="M3" s="44">
        <f>SUM(J3:L3)</f>
        <v>3716456.2473946665</v>
      </c>
      <c r="N3" s="23"/>
    </row>
    <row r="4" spans="1:14" x14ac:dyDescent="0.25">
      <c r="A4" s="28">
        <v>2014</v>
      </c>
      <c r="B4" s="45">
        <v>7698</v>
      </c>
      <c r="C4" s="38">
        <v>2266025</v>
      </c>
      <c r="D4" s="38">
        <v>28582.76</v>
      </c>
      <c r="E4" s="40">
        <v>0</v>
      </c>
      <c r="F4" s="38">
        <f>IF(B4="","",B4*Pristalsregulering!$C$7)</f>
        <v>7704.1583999999993</v>
      </c>
      <c r="G4" s="38">
        <f>IF(C4="","",C4*Pristalsregulering!$C$7)</f>
        <v>2267837.8199999998</v>
      </c>
      <c r="H4" s="38">
        <f>IF(D4="","",D4*Pristalsregulering!$C$7)</f>
        <v>28605.626207999994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276474</v>
      </c>
      <c r="C5" s="38">
        <v>2290101</v>
      </c>
      <c r="D5" s="38">
        <v>5124</v>
      </c>
      <c r="E5" s="40">
        <v>0</v>
      </c>
      <c r="F5" s="38">
        <f>IF(B5="","",B5*Pristalsregulering!$C$7*Pristalsregulering!$C$6)</f>
        <v>280845.60688799992</v>
      </c>
      <c r="G5" s="38">
        <f>IF(C5="","",C5*Pristalsregulering!$C$7*Pristalsregulering!$C$6)</f>
        <v>2326312.0770119992</v>
      </c>
      <c r="H5" s="38">
        <f>IF(D5="","",D5*Pristalsregulering!$C$7*Pristalsregulering!$C$6)</f>
        <v>5205.0206879999987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117453</v>
      </c>
      <c r="D2" s="42">
        <v>74668.240000000005</v>
      </c>
      <c r="E2" s="42">
        <v>43887210.850000001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44111854.829999998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58</v>
      </c>
      <c r="B1" s="64" t="s">
        <v>59</v>
      </c>
    </row>
    <row r="2" spans="1:2" x14ac:dyDescent="0.25">
      <c r="A2" s="23" t="s">
        <v>75</v>
      </c>
      <c r="B2" s="35">
        <v>114697.12</v>
      </c>
    </row>
    <row r="3" spans="1:2" x14ac:dyDescent="0.25">
      <c r="A3" t="s">
        <v>76</v>
      </c>
      <c r="B3" s="35">
        <v>208579</v>
      </c>
    </row>
    <row r="4" spans="1:2" x14ac:dyDescent="0.25">
      <c r="A4" t="s">
        <v>77</v>
      </c>
      <c r="B4" s="35">
        <v>507800</v>
      </c>
    </row>
    <row r="5" spans="1:2" x14ac:dyDescent="0.25">
      <c r="A5" t="s">
        <v>78</v>
      </c>
      <c r="B5" s="35">
        <v>399078</v>
      </c>
    </row>
    <row r="6" spans="1:2" x14ac:dyDescent="0.25">
      <c r="A6" t="s">
        <v>79</v>
      </c>
      <c r="B6" s="35">
        <v>0</v>
      </c>
    </row>
    <row r="7" spans="1:2" x14ac:dyDescent="0.25">
      <c r="A7" t="s">
        <v>80</v>
      </c>
      <c r="B7" s="35">
        <v>562380</v>
      </c>
    </row>
    <row r="8" spans="1:2" x14ac:dyDescent="0.25">
      <c r="A8" t="s">
        <v>81</v>
      </c>
      <c r="B8" s="35">
        <v>929440</v>
      </c>
    </row>
    <row r="9" spans="1:2" x14ac:dyDescent="0.25">
      <c r="A9" t="s">
        <v>82</v>
      </c>
      <c r="B9" s="35">
        <v>1455000</v>
      </c>
    </row>
    <row r="10" spans="1:2" x14ac:dyDescent="0.25">
      <c r="A10" t="s">
        <v>83</v>
      </c>
      <c r="B10" s="35">
        <v>870800</v>
      </c>
    </row>
    <row r="11" spans="1:2" x14ac:dyDescent="0.25">
      <c r="A11" t="s">
        <v>84</v>
      </c>
      <c r="B11" s="35">
        <v>590555</v>
      </c>
    </row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2016-12-07T17:02:22Z</dcterms:modified>
</cp:coreProperties>
</file>