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M4" i="16" l="1"/>
  <c r="N4" i="16"/>
  <c r="O4" i="16"/>
  <c r="I3" i="16"/>
  <c r="J3" i="16"/>
  <c r="K3" i="16"/>
  <c r="L3" i="16"/>
  <c r="M3" i="16"/>
  <c r="N3" i="16"/>
  <c r="O3" i="16"/>
  <c r="V3" i="16" l="1"/>
  <c r="U3" i="16"/>
  <c r="T3" i="16"/>
  <c r="F3" i="17"/>
  <c r="G3" i="17"/>
  <c r="I4" i="16" l="1"/>
  <c r="J4" i="16"/>
  <c r="Q3" i="16" s="1"/>
  <c r="K4" i="16"/>
  <c r="L4" i="16"/>
  <c r="S3" i="16" s="1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O5" i="16"/>
  <c r="M6" i="16"/>
  <c r="N6" i="16"/>
  <c r="O6" i="16"/>
  <c r="M5" i="16"/>
  <c r="N5" i="16"/>
  <c r="G5" i="17"/>
  <c r="F4" i="17"/>
  <c r="E5" i="17"/>
  <c r="G4" i="17"/>
  <c r="E4" i="17"/>
  <c r="F5" i="17"/>
  <c r="I6" i="16"/>
  <c r="J6" i="16"/>
  <c r="K5" i="16"/>
  <c r="R3" i="16" s="1"/>
  <c r="J3" i="24"/>
  <c r="L5" i="16"/>
  <c r="L6" i="16"/>
  <c r="J5" i="16"/>
  <c r="K6" i="16"/>
  <c r="I5" i="16"/>
  <c r="M3" i="24" l="1"/>
  <c r="B10" i="12" s="1"/>
  <c r="B11" i="12" s="1"/>
  <c r="P3" i="16"/>
  <c r="H3" i="17"/>
  <c r="B4" i="12" s="1"/>
  <c r="I2" i="15"/>
  <c r="K2" i="15" s="1"/>
  <c r="B2" i="12" s="1"/>
  <c r="W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<sst xmlns="http://schemas.openxmlformats.org/spreadsheetml/2006/main" count="135" uniqueCount="86">
  <si>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</si>
  <si>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</si>
  <si>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</si>
  <si>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</si>
  <si>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</si>
  <si>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</si>
  <si>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</si>
  <si>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</si>
  <si>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</si>
  <si>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</si>
  <si>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</si>
  <si>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</si>
  <si>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</si>
  <si>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</si>
  <si>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</si>
  <si>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</si>
  <si>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</si>
  <si>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</si>
  <si>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</si>
  <si>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</si>
  <si>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</si>
  <si>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</si>
  <si>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</si>
  <si>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>Badesikring</t>
  </si>
  <si>
    <t>Beredskabsplan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</si>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</sst>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4815171.4268446388</v>
      </c>
      <c r="C2" t="s">
        <v>11</v>
      </c>
    </row>
    <row r="3" spans="1:3" s="2" customFormat="1" x14ac:dyDescent="0.25">
      <c r="A3" s="6" t="s">
        <v>8</v>
      </c>
      <c r="B3" s="39">
        <f>'Miljø- og servicemål'!W3</f>
        <v>1346528.8661293334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36026.142800000001</v>
      </c>
      <c r="C4" t="s">
        <v>11</v>
      </c>
    </row>
    <row r="5" spans="1:3" s="29" customFormat="1" x14ac:dyDescent="0.25">
      <c r="A5" s="5" t="s">
        <v>58</v>
      </c>
      <c r="B5" s="38">
        <f>'Periodevise driftsomkostninger'!B2</f>
        <v>214908</v>
      </c>
      <c r="C5" s="3" t="s">
        <v>11</v>
      </c>
    </row>
    <row r="6" spans="1:3" s="29" customFormat="1" x14ac:dyDescent="0.25">
      <c r="A6" s="4" t="s">
        <v>12</v>
      </c>
      <c r="B6" s="51">
        <f>SUM(B2:B5)</f>
        <v>6412634.4357739715</v>
      </c>
      <c r="C6" s="65" t="s">
        <v>11</v>
      </c>
    </row>
    <row r="7" spans="1:3" x14ac:dyDescent="0.25">
      <c r="A7" s="50" t="s">
        <v>0</v>
      </c>
      <c r="B7" s="41">
        <f>Investeringer!E3</f>
        <v>23848196.382680979</v>
      </c>
      <c r="C7" s="26" t="s">
        <v>11</v>
      </c>
    </row>
    <row r="8" spans="1:3" x14ac:dyDescent="0.25">
      <c r="A8" s="5" t="s">
        <v>1</v>
      </c>
      <c r="B8" s="38">
        <f>Investeringer!F3</f>
        <v>4511027.1197269466</v>
      </c>
      <c r="C8" t="s">
        <v>11</v>
      </c>
    </row>
    <row r="9" spans="1:3" x14ac:dyDescent="0.25">
      <c r="A9" s="5" t="s">
        <v>2</v>
      </c>
      <c r="B9" s="38">
        <f>Investeringer!G3</f>
        <v>500040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372860.51733333332</v>
      </c>
      <c r="C10" t="s">
        <v>11</v>
      </c>
    </row>
    <row r="11" spans="1:3" s="25" customFormat="1" x14ac:dyDescent="0.25">
      <c r="A11" s="4" t="s">
        <v>51</v>
      </c>
      <c r="B11" s="51">
        <f>SUM(B7:B10)</f>
        <v>29232124.019741256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16382572</v>
      </c>
      <c r="C12" t="s">
        <v>11</v>
      </c>
    </row>
    <row r="13" spans="1:3" s="25" customFormat="1" x14ac:dyDescent="0.25">
      <c r="A13" s="5" t="s">
        <v>55</v>
      </c>
      <c r="B13" s="38">
        <f>SUM(Medfinansiering!B:B)</f>
        <v>320021</v>
      </c>
      <c r="C13" s="25" t="s">
        <v>11</v>
      </c>
    </row>
    <row r="14" spans="1:3" s="25" customFormat="1" x14ac:dyDescent="0.25">
      <c r="A14" s="4" t="s">
        <v>79</v>
      </c>
      <c r="B14" s="51">
        <f>SUM(B12:B13)</f>
        <v>16702593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68</v>
      </c>
      <c r="B16" s="40">
        <f>SUM(B6,B11,B14)</f>
        <v>52347351.455515228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60</v>
      </c>
      <c r="B18" s="40">
        <f>B16*Pristalsregulering!C8*Pristalsregulering!C9</f>
        <v>52810716.600288063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67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56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57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69</v>
      </c>
      <c r="D1" s="62" t="s">
        <v>70</v>
      </c>
      <c r="E1" s="62" t="s">
        <v>61</v>
      </c>
      <c r="F1" s="55" t="s">
        <v>71</v>
      </c>
      <c r="G1" s="55" t="s">
        <v>80</v>
      </c>
      <c r="H1" s="55" t="s">
        <v>72</v>
      </c>
      <c r="I1" s="55" t="s">
        <v>52</v>
      </c>
      <c r="J1" s="14" t="s">
        <v>73</v>
      </c>
      <c r="K1" s="14" t="s">
        <v>74</v>
      </c>
    </row>
    <row r="2" spans="1:11" s="26" customFormat="1" ht="15.75" thickTop="1" x14ac:dyDescent="0.25">
      <c r="A2" s="31">
        <v>2015</v>
      </c>
      <c r="B2" s="52">
        <v>4748553</v>
      </c>
      <c r="C2" s="52">
        <v>2025</v>
      </c>
      <c r="D2" s="52">
        <f>B2+C2</f>
        <v>4750578</v>
      </c>
      <c r="E2" s="53">
        <f>D2</f>
        <v>4750578</v>
      </c>
      <c r="F2" s="52">
        <v>7849071.4413270289</v>
      </c>
      <c r="G2" s="52">
        <v>2355000</v>
      </c>
      <c r="H2" s="52">
        <f>F2-G2</f>
        <v>5494071.4413270289</v>
      </c>
      <c r="I2" s="52">
        <f>AVERAGEIF(E2:E4,"&lt;&gt;0")</f>
        <v>4350223.0934039997</v>
      </c>
      <c r="J2" s="52">
        <v>4815171.4268446388</v>
      </c>
      <c r="K2" s="42">
        <f>IF(H2&gt;I2,IF(I2&gt;J2,I2,J2),H2)</f>
        <v>4815171.4268446388</v>
      </c>
    </row>
    <row r="3" spans="1:11" s="26" customFormat="1" x14ac:dyDescent="0.25">
      <c r="A3" s="31">
        <v>2014</v>
      </c>
      <c r="B3" s="52">
        <v>3516764</v>
      </c>
      <c r="C3" s="52"/>
      <c r="D3" s="52">
        <f t="shared" ref="D3:D4" si="0">B3+C3</f>
        <v>3516764</v>
      </c>
      <c r="E3" s="53">
        <f>D3*Pristalsregulering!C7</f>
        <v>3519577.4111999995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4706101</v>
      </c>
      <c r="C4" s="52"/>
      <c r="D4" s="52">
        <f t="shared" si="0"/>
        <v>4706101</v>
      </c>
      <c r="E4" s="53">
        <f>D4*Pristalsregulering!$C$6*Pristalsregulering!$C$7</f>
        <v>4780513.8690119991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5" customWidth="1"/>
    <col min="9" max="9" width="30.7109375" style="58" customWidth="1"/>
    <col min="10" max="12" width="30.7109375" customWidth="1"/>
    <col min="13" max="15" width="30.7109375" style="25" customWidth="1"/>
    <col min="16" max="16" width="30.7109375" style="58" customWidth="1"/>
    <col min="17" max="20" width="30.7109375" customWidth="1"/>
    <col min="21" max="22" width="30.7109375" style="25" customWidth="1"/>
    <col min="23" max="23" width="30.7109375" style="58" customWidth="1"/>
    <col min="24" max="24" width="9.140625" hidden="1" customWidth="1"/>
    <col min="33" max="33" width="9.140625" hidden="1"/>
    <col min="39" max="39" width="9.140625" hidden="1"/>
    <col min="48" max="48" width="9.140625" hidden="1"/>
    <col min="57" max="57" width="9.140625" hidden="1"/>
    <col min="66" max="66" width="9.140625" hidden="1"/>
    <col min="72" max="72" width="9.140625" hidden="1"/>
    <col min="81" max="83" width="9.140625" hidden="1"/>
    <col min="92" max="92" width="9.140625" hidden="1"/>
    <col min="101" max="101" width="9.140625" hidden="1"/>
    <col min="107" max="107" width="9.140625" hidden="1"/>
    <col min="116" max="117" width="9.140625" hidden="1"/>
    <col min="123" max="123" width="9.140625" hidden="1"/>
    <col min="129" max="129" width="9.140625" hidden="1"/>
    <col min="138" max="139" width="9.140625" hidden="1"/>
    <col min="144" max="144" width="9.140625" hidden="1"/>
    <col min="153" max="154" width="9.140625" hidden="1"/>
    <col min="156" max="156" width="9.140625" hidden="1"/>
    <col min="162" max="162" width="9.140625" hidden="1"/>
    <col min="171" max="172" width="9.140625" hidden="1"/>
    <col min="177" max="177" width="9.140625" hidden="1"/>
    <col min="186" max="189" width="9.140625" hidden="1"/>
    <col min="191" max="191" width="9.140625" hidden="1"/>
    <col min="197" max="197" width="9.140625" hidden="1"/>
    <col min="206" max="207" width="9.140625" hidden="1"/>
    <col min="212" max="212" width="9.140625" hidden="1"/>
    <col min="221" max="223" width="9.140625" hidden="1"/>
    <col min="228" max="229" width="9.140625" hidden="1"/>
    <col min="234" max="234" width="9.140625" hidden="1"/>
    <col min="243" max="245" width="9.140625" hidden="1"/>
    <col min="249" max="249" width="9.140625" hidden="1"/>
    <col min="258" max="262" width="9.140625" hidden="1"/>
    <col min="267" max="267" width="9.140625" hidden="1"/>
    <col min="276" max="278" width="9.140625" hidden="1"/>
    <col min="282" max="282" width="9.140625" hidden="1"/>
    <col min="291" max="297" width="9.140625" hidden="1"/>
    <col min="302" max="302" width="9.140625" hidden="1"/>
    <col min="311" max="313" width="9.140625" hidden="1"/>
    <col min="317" max="317" width="9.140625" hidden="1"/>
    <col min="326" max="330" width="9.140625" hidden="1"/>
    <col min="339" max="16384" width="9.140625" hidden="1"/>
  </cols>
  <sheetData>
    <row r="1" spans="1:23" s="30" customFormat="1" ht="15.75" thickBot="1" x14ac:dyDescent="0.3">
      <c r="A1" s="10"/>
      <c r="B1" s="36" t="s">
        <v>83</v>
      </c>
      <c r="C1" s="36"/>
      <c r="D1" s="36"/>
      <c r="E1" s="36"/>
      <c r="F1" s="36"/>
      <c r="G1" s="36"/>
      <c r="H1" s="36"/>
      <c r="I1" s="68" t="s">
        <v>84</v>
      </c>
      <c r="J1" s="13"/>
      <c r="K1" s="13"/>
      <c r="L1" s="13"/>
      <c r="M1" s="13"/>
      <c r="N1" s="13"/>
      <c r="O1" s="13"/>
      <c r="P1" s="68" t="s">
        <v>85</v>
      </c>
      <c r="Q1" s="13"/>
      <c r="R1" s="13"/>
      <c r="S1" s="13"/>
      <c r="T1" s="13"/>
      <c r="U1" s="13"/>
      <c r="V1" s="13"/>
      <c r="W1" s="68"/>
    </row>
    <row r="2" spans="1:23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37" t="s">
        <v>25</v>
      </c>
      <c r="F2" s="37" t="s">
        <v>26</v>
      </c>
      <c r="G2" s="37" t="s">
        <v>53</v>
      </c>
      <c r="H2" s="37" t="s">
        <v>54</v>
      </c>
      <c r="I2" s="59" t="s">
        <v>22</v>
      </c>
      <c r="J2" s="37" t="s">
        <v>23</v>
      </c>
      <c r="K2" s="37" t="s">
        <v>24</v>
      </c>
      <c r="L2" s="37" t="s">
        <v>25</v>
      </c>
      <c r="M2" s="37" t="s">
        <v>26</v>
      </c>
      <c r="N2" s="37" t="s">
        <v>53</v>
      </c>
      <c r="O2" s="37" t="s">
        <v>54</v>
      </c>
      <c r="P2" s="59" t="s">
        <v>22</v>
      </c>
      <c r="Q2" s="37" t="s">
        <v>23</v>
      </c>
      <c r="R2" s="37" t="s">
        <v>24</v>
      </c>
      <c r="S2" s="37" t="s">
        <v>25</v>
      </c>
      <c r="T2" s="37" t="s">
        <v>26</v>
      </c>
      <c r="U2" s="37" t="s">
        <v>53</v>
      </c>
      <c r="V2" s="37" t="s">
        <v>54</v>
      </c>
      <c r="W2" s="56" t="s">
        <v>27</v>
      </c>
    </row>
    <row r="3" spans="1:23" s="25" customFormat="1" x14ac:dyDescent="0.25">
      <c r="A3" s="31">
        <v>2016</v>
      </c>
      <c r="B3" s="77">
        <v>30000</v>
      </c>
      <c r="C3" s="77">
        <v>150000</v>
      </c>
      <c r="D3" s="77"/>
      <c r="E3" s="77">
        <v>60000</v>
      </c>
      <c r="F3" s="77">
        <v>650000</v>
      </c>
      <c r="G3" s="77">
        <v>35000</v>
      </c>
      <c r="H3" s="77">
        <v>51528</v>
      </c>
      <c r="I3" s="48">
        <f>B3</f>
        <v>30000</v>
      </c>
      <c r="J3" s="38">
        <f>C3</f>
        <v>150000</v>
      </c>
      <c r="K3" s="38">
        <f>D3</f>
        <v>0</v>
      </c>
      <c r="L3" s="38">
        <f>E3</f>
        <v>60000</v>
      </c>
      <c r="M3" s="38">
        <f>F3</f>
        <v>650000</v>
      </c>
      <c r="N3" s="38">
        <f>G3</f>
        <v>35000</v>
      </c>
      <c r="O3" s="38">
        <f>H3</f>
        <v>51528</v>
      </c>
      <c r="P3" s="48">
        <f>IF(I4=0,0,AVERAGEIF(I4:I6,"&lt;&gt;0"))+I3</f>
        <v>30000</v>
      </c>
      <c r="Q3" s="41">
        <f>IF(J4=0,0,AVERAGEIF(J4:J6,"&lt;&gt;0"))+J3</f>
        <v>150000</v>
      </c>
      <c r="R3" s="41">
        <f>IF(K4=0,0,AVERAGEIF(K4:K6,"&lt;&gt;0"))+K3</f>
        <v>370000.86612933333</v>
      </c>
      <c r="S3" s="41">
        <f>IF(L4=0,0,AVERAGEIF(L4:L6,"&lt;&gt;0"))+L3</f>
        <v>60000</v>
      </c>
      <c r="T3" s="41">
        <f>IF(M4=0,0,AVERAGEIF(M4:M6,"&lt;&gt;0"))+M3</f>
        <v>650000</v>
      </c>
      <c r="U3" s="41">
        <f>IF(N4=0,0,AVERAGEIF(N4:N6,"&lt;&gt;0"))+N3</f>
        <v>35000</v>
      </c>
      <c r="V3" s="41">
        <f>IF(O4=0,0,AVERAGEIF(O4:O6,"&lt;&gt;0"))+O3</f>
        <v>51528</v>
      </c>
      <c r="W3" s="60">
        <f>SUM(P3:V3)</f>
        <v>1346528.8661293334</v>
      </c>
    </row>
    <row r="4" spans="1:23" x14ac:dyDescent="0.25">
      <c r="A4" s="31">
        <v>2015</v>
      </c>
      <c r="B4" s="38"/>
      <c r="C4" s="38"/>
      <c r="D4" s="38">
        <v>417745</v>
      </c>
      <c r="E4" s="38"/>
      <c r="F4" s="38"/>
      <c r="G4" s="38"/>
      <c r="H4" s="38"/>
      <c r="I4" s="48">
        <f>B4</f>
        <v>0</v>
      </c>
      <c r="J4" s="38">
        <f>C4</f>
        <v>0</v>
      </c>
      <c r="K4" s="38">
        <f>D4</f>
        <v>417745</v>
      </c>
      <c r="L4" s="38">
        <f>E4</f>
        <v>0</v>
      </c>
      <c r="M4" s="38">
        <f>F4</f>
        <v>0</v>
      </c>
      <c r="N4" s="38">
        <f>G4</f>
        <v>0</v>
      </c>
      <c r="O4" s="38">
        <f>H4</f>
        <v>0</v>
      </c>
      <c r="P4" s="48"/>
      <c r="Q4" s="41"/>
      <c r="R4" s="41"/>
      <c r="S4" s="41"/>
      <c r="T4" s="41"/>
      <c r="U4" s="41"/>
      <c r="V4" s="41"/>
      <c r="W4" s="57"/>
    </row>
    <row r="5" spans="1:23" x14ac:dyDescent="0.25">
      <c r="A5" s="31">
        <v>2014</v>
      </c>
      <c r="B5" s="38"/>
      <c r="C5" s="38"/>
      <c r="D5" s="38">
        <v>523672</v>
      </c>
      <c r="E5" s="38"/>
      <c r="F5" s="38"/>
      <c r="G5" s="38"/>
      <c r="H5" s="38"/>
      <c r="I5" s="48">
        <f>B5*Pristalsregulering!$C$7</f>
        <v>0</v>
      </c>
      <c r="J5" s="38">
        <f>C5*Pristalsregulering!$C$7</f>
        <v>0</v>
      </c>
      <c r="K5" s="38">
        <f>D5*Pristalsregulering!$C$7</f>
        <v>524090.93759999995</v>
      </c>
      <c r="L5" s="38">
        <f>E5*Pristalsregulering!$C$7</f>
        <v>0</v>
      </c>
      <c r="M5" s="38">
        <f>F5*Pristalsregulering!$C$7</f>
        <v>0</v>
      </c>
      <c r="N5" s="38">
        <f>G5*Pristalsregulering!$C$7</f>
        <v>0</v>
      </c>
      <c r="O5" s="38">
        <f>H5*Pristalsregulering!$C$7</f>
        <v>0</v>
      </c>
      <c r="P5" s="48"/>
      <c r="Q5" s="38"/>
      <c r="R5" s="38"/>
      <c r="S5" s="38"/>
      <c r="T5" s="41"/>
      <c r="U5" s="41"/>
      <c r="V5" s="41"/>
      <c r="W5" s="48"/>
    </row>
    <row r="6" spans="1:23" x14ac:dyDescent="0.25">
      <c r="A6" s="31">
        <v>2013</v>
      </c>
      <c r="B6" s="38"/>
      <c r="C6" s="38"/>
      <c r="D6" s="38">
        <v>165549</v>
      </c>
      <c r="E6" s="38"/>
      <c r="F6" s="38"/>
      <c r="G6" s="38"/>
      <c r="H6" s="38"/>
      <c r="I6" s="48">
        <f>B6*Pristalsregulering!$C$7*Pristalsregulering!$C$6</f>
        <v>0</v>
      </c>
      <c r="J6" s="38">
        <f>C6*Pristalsregulering!$C$7*Pristalsregulering!$C$6</f>
        <v>0</v>
      </c>
      <c r="K6" s="38">
        <f>D6*Pristalsregulering!$C$7*Pristalsregulering!$C$6</f>
        <v>168166.66078799998</v>
      </c>
      <c r="L6" s="38">
        <f>E6*Pristalsregulering!$C$7*Pristalsregulering!$C$6</f>
        <v>0</v>
      </c>
      <c r="M6" s="38">
        <f>F6*Pristalsregulering!$C$7*Pristalsregulering!$C$6</f>
        <v>0</v>
      </c>
      <c r="N6" s="38">
        <f>G6*Pristalsregulering!$C$7*Pristalsregulering!$C$6</f>
        <v>0</v>
      </c>
      <c r="O6" s="38">
        <f>H6*Pristalsregulering!$C$7*Pristalsregulering!$C$6</f>
        <v>0</v>
      </c>
      <c r="P6" s="48"/>
      <c r="Q6" s="38"/>
      <c r="R6" s="38"/>
      <c r="S6" s="38"/>
      <c r="T6" s="41"/>
      <c r="U6" s="41"/>
      <c r="V6" s="41"/>
      <c r="W6" s="48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8" t="s">
        <v>28</v>
      </c>
      <c r="C1" s="79"/>
      <c r="D1" s="79"/>
      <c r="E1" s="80" t="s">
        <v>62</v>
      </c>
      <c r="F1" s="81"/>
      <c r="G1" s="82"/>
      <c r="H1" s="32"/>
    </row>
    <row r="2" spans="1:8" s="24" customFormat="1" ht="15.75" thickTop="1" x14ac:dyDescent="0.25">
      <c r="A2" s="22" t="s">
        <v>13</v>
      </c>
      <c r="B2" s="19" t="s">
        <v>29</v>
      </c>
      <c r="C2" s="23" t="s">
        <v>30</v>
      </c>
      <c r="D2" s="23" t="s">
        <v>31</v>
      </c>
      <c r="E2" s="19" t="s">
        <v>29</v>
      </c>
      <c r="F2" s="23" t="s">
        <v>30</v>
      </c>
      <c r="G2" s="49" t="s">
        <v>31</v>
      </c>
      <c r="H2" s="7" t="s">
        <v>33</v>
      </c>
    </row>
    <row r="3" spans="1:8" x14ac:dyDescent="0.25">
      <c r="A3" s="34">
        <v>2015</v>
      </c>
      <c r="B3" s="44">
        <v>2346</v>
      </c>
      <c r="C3" s="45">
        <v>18006</v>
      </c>
      <c r="D3" s="45">
        <v>0</v>
      </c>
      <c r="E3" s="44">
        <f>B3</f>
        <v>2346</v>
      </c>
      <c r="F3" s="45">
        <f t="shared" ref="F3:G3" si="0">C3</f>
        <v>18006</v>
      </c>
      <c r="G3" s="46">
        <f t="shared" si="0"/>
        <v>0</v>
      </c>
      <c r="H3" s="47">
        <f>IF(E3=0,0,AVERAGEIF(E3:E5,"&lt;&gt;0"))+IF(F3=0,0,AVERAGEIF(F3:F5,"&lt;&gt;0"))+IF(G3=0,0,AVERAGEIF(G3:G5,"&lt;&gt;0"))</f>
        <v>36026.142800000001</v>
      </c>
    </row>
    <row r="4" spans="1:8" x14ac:dyDescent="0.25">
      <c r="A4" s="34">
        <v>2014</v>
      </c>
      <c r="B4" s="44">
        <v>20000</v>
      </c>
      <c r="C4" s="45">
        <v>22867</v>
      </c>
      <c r="D4" s="45">
        <v>0</v>
      </c>
      <c r="E4" s="44">
        <f>B4*Pristalsregulering!$C$7</f>
        <v>20016</v>
      </c>
      <c r="F4" s="45">
        <f>C4*Pristalsregulering!$C$7</f>
        <v>22885.293599999997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24000</v>
      </c>
      <c r="C5" s="45">
        <v>0</v>
      </c>
      <c r="D5" s="45">
        <v>0</v>
      </c>
      <c r="E5" s="44">
        <f>B5*Pristalsregulering!$C$7*Pristalsregulering!$C$6</f>
        <v>24379.487999999994</v>
      </c>
      <c r="F5" s="45">
        <f>C5*Pristalsregulering!$C$7*Pristalsregulering!$C$6</f>
        <v>0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59</v>
      </c>
    </row>
    <row r="2" spans="1:2" ht="15.75" thickTop="1" x14ac:dyDescent="0.25">
      <c r="A2" s="31">
        <v>2015</v>
      </c>
      <c r="B2" s="52">
        <v>214908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1" t="s">
        <v>77</v>
      </c>
      <c r="C1" s="81"/>
      <c r="D1" s="82"/>
      <c r="E1" s="83" t="s">
        <v>78</v>
      </c>
      <c r="F1" s="83"/>
      <c r="G1" s="83"/>
    </row>
    <row r="2" spans="1:7" s="25" customFormat="1" ht="15.75" thickTop="1" x14ac:dyDescent="0.25">
      <c r="A2" s="74" t="s">
        <v>13</v>
      </c>
      <c r="B2" s="26" t="s">
        <v>75</v>
      </c>
      <c r="C2" s="26" t="s">
        <v>1</v>
      </c>
      <c r="D2" s="31" t="s">
        <v>76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21905225.547008779</v>
      </c>
      <c r="C3" s="41">
        <v>4334682.2100000009</v>
      </c>
      <c r="D3" s="43">
        <v>500040</v>
      </c>
      <c r="E3" s="38">
        <f>B3*Pristalsregulering!C2*Pristalsregulering!C3*Pristalsregulering!C4*Pristalsregulering!C5*Pristalsregulering!C6*Pristalsregulering!C7</f>
        <v>23848196.382680979</v>
      </c>
      <c r="F3" s="38">
        <v>4511027.1197269466</v>
      </c>
      <c r="G3" s="38">
        <f>D3</f>
        <v>500040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8" t="s">
        <v>44</v>
      </c>
      <c r="C1" s="79"/>
      <c r="D1" s="79"/>
      <c r="E1" s="79"/>
      <c r="F1" s="80" t="s">
        <v>63</v>
      </c>
      <c r="G1" s="81"/>
      <c r="H1" s="81"/>
      <c r="I1" s="81"/>
      <c r="J1" s="84" t="s">
        <v>33</v>
      </c>
      <c r="K1" s="83"/>
      <c r="L1" s="85"/>
      <c r="M1" s="16"/>
    </row>
    <row r="2" spans="1:14" s="29" customFormat="1" ht="15.75" thickTop="1" x14ac:dyDescent="0.25">
      <c r="A2" s="22" t="s">
        <v>13</v>
      </c>
      <c r="B2" s="9" t="s">
        <v>45</v>
      </c>
      <c r="C2" s="8" t="s">
        <v>46</v>
      </c>
      <c r="D2" s="8" t="s">
        <v>47</v>
      </c>
      <c r="E2" s="54" t="s">
        <v>48</v>
      </c>
      <c r="F2" s="8" t="s">
        <v>45</v>
      </c>
      <c r="G2" s="8" t="s">
        <v>46</v>
      </c>
      <c r="H2" s="8" t="s">
        <v>47</v>
      </c>
      <c r="I2" s="54" t="s">
        <v>48</v>
      </c>
      <c r="J2" s="23" t="s">
        <v>49</v>
      </c>
      <c r="K2" s="23" t="s">
        <v>46</v>
      </c>
      <c r="L2" s="18" t="s">
        <v>81</v>
      </c>
      <c r="M2" s="7" t="s">
        <v>32</v>
      </c>
      <c r="N2" s="35"/>
    </row>
    <row r="3" spans="1:14" x14ac:dyDescent="0.25">
      <c r="A3" s="31">
        <v>2015</v>
      </c>
      <c r="B3" s="48">
        <v>0</v>
      </c>
      <c r="C3" s="41">
        <v>372047</v>
      </c>
      <c r="D3" s="41">
        <v>1750</v>
      </c>
      <c r="E3" s="43">
        <v>0</v>
      </c>
      <c r="F3" s="41">
        <f>B3</f>
        <v>0</v>
      </c>
      <c r="G3" s="41">
        <f>C3</f>
        <v>372047</v>
      </c>
      <c r="H3" s="41">
        <f>D3</f>
        <v>1750</v>
      </c>
      <c r="I3" s="43">
        <f>E3</f>
        <v>0</v>
      </c>
      <c r="J3" s="45">
        <f>AVERAGE(F3:F5)</f>
        <v>0</v>
      </c>
      <c r="K3" s="45">
        <f>G3</f>
        <v>372047</v>
      </c>
      <c r="L3" s="46">
        <f>AVERAGE(H3:H5)+AVERAGE(I3:I5)</f>
        <v>813.51733333333323</v>
      </c>
      <c r="M3" s="47">
        <f>SUM(J3:L3)</f>
        <v>372860.51733333332</v>
      </c>
      <c r="N3" s="26"/>
    </row>
    <row r="4" spans="1:14" x14ac:dyDescent="0.25">
      <c r="A4" s="31">
        <v>2014</v>
      </c>
      <c r="B4" s="48">
        <v>0</v>
      </c>
      <c r="C4" s="41">
        <v>332705</v>
      </c>
      <c r="D4" s="41">
        <v>690</v>
      </c>
      <c r="E4" s="43">
        <v>0</v>
      </c>
      <c r="F4" s="41">
        <f>IF(B4="","",B4*Pristalsregulering!$C$7)</f>
        <v>0</v>
      </c>
      <c r="G4" s="41">
        <f>IF(C4="","",C4*Pristalsregulering!$C$7)</f>
        <v>332971.16399999999</v>
      </c>
      <c r="H4" s="41">
        <f>IF(D4="","",D4*Pristalsregulering!$C$7)</f>
        <v>690.55199999999991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105886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107560.26943199999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34</v>
      </c>
      <c r="C1" s="71" t="s">
        <v>35</v>
      </c>
      <c r="D1" s="71" t="s">
        <v>36</v>
      </c>
      <c r="E1" s="71" t="s">
        <v>37</v>
      </c>
      <c r="F1" s="71" t="s">
        <v>38</v>
      </c>
      <c r="G1" s="71" t="s">
        <v>39</v>
      </c>
      <c r="H1" s="71" t="s">
        <v>40</v>
      </c>
      <c r="I1" s="71" t="s">
        <v>41</v>
      </c>
      <c r="J1" s="71" t="s">
        <v>42</v>
      </c>
      <c r="K1" s="71" t="s">
        <v>64</v>
      </c>
      <c r="L1" s="72" t="s">
        <v>43</v>
      </c>
      <c r="M1" s="17" t="s">
        <v>32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0</v>
      </c>
      <c r="E2" s="45">
        <v>16350049</v>
      </c>
      <c r="F2" s="45">
        <v>0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16382572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50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50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65</v>
      </c>
      <c r="B1" s="67" t="s">
        <v>66</v>
      </c>
    </row>
    <row r="2" spans="1:2" x14ac:dyDescent="0.25">
      <c r="A2" s="26" t="s">
        <v>82</v>
      </c>
      <c r="B2" s="38">
        <v>320021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2016-11-11T16:22:45Z</dcterms:modified>
</cp:coreProperties>
</file>