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5" i="12" l="1"/>
  <c r="C8" i="27" l="1"/>
  <c r="C9" i="27"/>
  <c r="E2" i="15" l="1"/>
  <c r="G4" i="16" l="1"/>
  <c r="H4" i="16"/>
  <c r="I4" i="16"/>
  <c r="F3" i="16"/>
  <c r="G3" i="16"/>
  <c r="H3" i="16"/>
  <c r="I3" i="16"/>
  <c r="K3" i="16" l="1"/>
  <c r="L3" i="16"/>
  <c r="M3" i="16"/>
  <c r="F3" i="17"/>
  <c r="G3" i="17"/>
  <c r="F4" i="16" l="1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H6" i="16"/>
  <c r="I6" i="16"/>
  <c r="G5" i="16"/>
  <c r="H5" i="16"/>
  <c r="G6" i="16"/>
  <c r="I5" i="16"/>
  <c r="G5" i="17"/>
  <c r="F4" i="17"/>
  <c r="E5" i="17"/>
  <c r="G4" i="17"/>
  <c r="E4" i="17"/>
  <c r="F5" i="17"/>
  <c r="J3" i="24"/>
  <c r="F5" i="16"/>
  <c r="F6" i="16"/>
  <c r="M3" i="24" l="1"/>
  <c r="B10" i="12" s="1"/>
  <c r="B11" i="12" s="1"/>
  <c r="J3" i="16"/>
  <c r="H3" i="17"/>
  <c r="B4" i="12" s="1"/>
  <c r="I2" i="15"/>
  <c r="K2" i="15" s="1"/>
  <c r="B2" i="12" s="1"/>
  <c r="N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<sst xmlns="http://schemas.openxmlformats.org/spreadsheetml/2006/main" count="121" uniqueCount="79">
  <si>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</si>
  <si>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</si>
  <si>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</si>
  <si>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</si>
  <si>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</si>
  <si>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</si>
  <si>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</si>
  <si>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</si>
  <si>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</si>
  <si>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</si>
  <si>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</si>
  <si>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</si>
  <si>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</si>
  <si>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</si>
  <si>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</si>
  <si>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</si>
  <si>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</si>
  <si>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</si>
  <si>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</si>
  <si>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</si>
  <si>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</si>
  <si>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</si>
  <si>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</si>
  <si>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</si>
  <si>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</si>
  <si>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</si>
  <si>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</si>
  <si>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</si>
  <si>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</si>
  <si>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</si>
  <si>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</si>
  <si>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</si>
  <si>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</si>
  <si>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</si>
  <si>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</si>
  <si>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</si>
  <si>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</si>
  <si>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</si>
  <si>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</si>
  <si>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</si>
  <si>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</si>
  <si>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</si>
  <si>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</si>
  <si>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</si>
  <si>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</si>
  <si>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</si>
  <si>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</si>
  <si>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</si>
  <si>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</si>
  <si>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Sociale medier (information &amp; formidling)</t>
  </si>
  <si>
    <t>Vandets dag (info og formidling</t>
  </si>
  <si>
    <t>Kundeundersøgelser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</si>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</sst>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2" applyFill="0" applyAlignment="0" applyProtection="0"/>
    <xf numFmtId="166" fontId="24" fillId="0" borderId="22" applyFill="0" applyAlignment="0" applyProtection="0"/>
    <xf numFmtId="167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20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43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4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4" xfId="27368" applyNumberFormat="1" applyFont="1" applyBorder="1"/>
    <xf numFmtId="164" fontId="0" fillId="0" borderId="29" xfId="27368" applyNumberFormat="1" applyFont="1" applyFill="1" applyBorder="1"/>
    <xf numFmtId="164" fontId="0" fillId="0" borderId="0" xfId="27368" applyNumberFormat="1" applyFont="1" applyFill="1" applyBorder="1"/>
    <xf numFmtId="164" fontId="0" fillId="0" borderId="24" xfId="27368" applyNumberFormat="1" applyFont="1" applyFill="1" applyBorder="1"/>
    <xf numFmtId="164" fontId="3" fillId="0" borderId="0" xfId="27368" applyNumberFormat="1" applyFont="1" applyFill="1" applyBorder="1"/>
    <xf numFmtId="164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4" fontId="3" fillId="0" borderId="3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4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4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3" xfId="0" applyFont="1" applyBorder="1"/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4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4" fontId="0" fillId="0" borderId="0" xfId="27368" applyNumberFormat="1" applyFont="1" applyBorder="1" applyAlignment="1">
      <alignment wrapText="1"/>
    </xf>
    <xf numFmtId="164" fontId="3" fillId="0" borderId="27" xfId="0" applyNumberFormat="1" applyFont="1" applyFill="1" applyBorder="1" applyAlignment="1">
      <alignment horizontal="left"/>
    </xf>
    <xf numFmtId="164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23034037.902670663</v>
      </c>
      <c r="C2" t="s">
        <v>11</v>
      </c>
    </row>
    <row r="3" spans="1:3" s="2" customFormat="1" x14ac:dyDescent="0.25">
      <c r="A3" s="6" t="s">
        <v>8</v>
      </c>
      <c r="B3" s="39">
        <f>'Miljø- og servicemål'!N3</f>
        <v>498008.78774799994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110047.85493333332</v>
      </c>
      <c r="C4" t="s">
        <v>11</v>
      </c>
    </row>
    <row r="5" spans="1:3" s="29" customFormat="1" x14ac:dyDescent="0.25">
      <c r="A5" s="5" t="s">
        <v>54</v>
      </c>
      <c r="B5" s="38">
        <f>'Periodevise driftsomkostninger'!B2</f>
        <v>258655.00324261741</v>
      </c>
      <c r="C5" s="3" t="s">
        <v>11</v>
      </c>
    </row>
    <row r="6" spans="1:3" s="29" customFormat="1" x14ac:dyDescent="0.25">
      <c r="A6" s="4" t="s">
        <v>12</v>
      </c>
      <c r="B6" s="51">
        <f>SUM(B2:B5)</f>
        <v>23900749.548594613</v>
      </c>
      <c r="C6" s="65" t="s">
        <v>11</v>
      </c>
    </row>
    <row r="7" spans="1:3" x14ac:dyDescent="0.25">
      <c r="A7" s="50" t="s">
        <v>0</v>
      </c>
      <c r="B7" s="41">
        <f>Investeringer!E3</f>
        <v>11251495.700490635</v>
      </c>
      <c r="C7" s="26" t="s">
        <v>11</v>
      </c>
    </row>
    <row r="8" spans="1:3" x14ac:dyDescent="0.25">
      <c r="A8" s="5" t="s">
        <v>1</v>
      </c>
      <c r="B8" s="38">
        <f>Investeringer!F3</f>
        <v>3851390.4611417092</v>
      </c>
      <c r="C8" t="s">
        <v>11</v>
      </c>
    </row>
    <row r="9" spans="1:3" x14ac:dyDescent="0.25">
      <c r="A9" s="5" t="s">
        <v>2</v>
      </c>
      <c r="B9" s="38">
        <f>Investeringer!G3</f>
        <v>483333.33333333331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1697124.044</v>
      </c>
      <c r="C10" t="s">
        <v>11</v>
      </c>
    </row>
    <row r="11" spans="1:3" s="25" customFormat="1" x14ac:dyDescent="0.25">
      <c r="A11" s="4" t="s">
        <v>47</v>
      </c>
      <c r="B11" s="51">
        <f>SUM(B7:B10)</f>
        <v>17283343.53896568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4075860</v>
      </c>
      <c r="C12" t="s">
        <v>11</v>
      </c>
    </row>
    <row r="13" spans="1:3" s="25" customFormat="1" x14ac:dyDescent="0.25">
      <c r="A13" s="4" t="s">
        <v>73</v>
      </c>
      <c r="B13" s="51">
        <f>SUM(B12:B12)</f>
        <v>4075860</v>
      </c>
      <c r="C13" s="65" t="s">
        <v>11</v>
      </c>
    </row>
    <row r="14" spans="1:3" x14ac:dyDescent="0.25">
      <c r="A14" s="1"/>
      <c r="B14" s="38"/>
    </row>
    <row r="15" spans="1:3" ht="15.75" thickBot="1" x14ac:dyDescent="0.3">
      <c r="A15" s="30" t="s">
        <v>62</v>
      </c>
      <c r="B15" s="40">
        <f>SUM(B6,B11,B13)</f>
        <v>45259953.087560296</v>
      </c>
      <c r="C15" s="30" t="s">
        <v>3</v>
      </c>
    </row>
    <row r="16" spans="1:3" ht="15.75" thickTop="1" x14ac:dyDescent="0.25"/>
    <row r="17" spans="1:3" ht="15.75" thickBot="1" x14ac:dyDescent="0.3">
      <c r="A17" s="30" t="s">
        <v>56</v>
      </c>
      <c r="B17" s="40">
        <f>B15*Pristalsregulering!C8*Pristalsregulering!C9</f>
        <v>45660582.424703576</v>
      </c>
      <c r="C17" s="30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63</v>
      </c>
      <c r="D1" s="62" t="s">
        <v>64</v>
      </c>
      <c r="E1" s="62" t="s">
        <v>57</v>
      </c>
      <c r="F1" s="55" t="s">
        <v>65</v>
      </c>
      <c r="G1" s="55" t="s">
        <v>74</v>
      </c>
      <c r="H1" s="55" t="s">
        <v>66</v>
      </c>
      <c r="I1" s="55" t="s">
        <v>48</v>
      </c>
      <c r="J1" s="14" t="s">
        <v>67</v>
      </c>
      <c r="K1" s="14" t="s">
        <v>68</v>
      </c>
    </row>
    <row r="2" spans="1:11" s="26" customFormat="1" ht="15.75" thickTop="1" x14ac:dyDescent="0.25">
      <c r="A2" s="31">
        <v>2015</v>
      </c>
      <c r="B2" s="52">
        <v>23223011</v>
      </c>
      <c r="C2" s="52">
        <v>0</v>
      </c>
      <c r="D2" s="52">
        <f>B2+C2</f>
        <v>23223011</v>
      </c>
      <c r="E2" s="53">
        <f>D2</f>
        <v>23223011</v>
      </c>
      <c r="F2" s="52">
        <v>23329370.770682488</v>
      </c>
      <c r="G2" s="52">
        <v>258655.00324261741</v>
      </c>
      <c r="H2" s="52">
        <f>F2-G2</f>
        <v>23070715.767439872</v>
      </c>
      <c r="I2" s="52">
        <f>AVERAGEIF(E2:E4,"&lt;&gt;0")</f>
        <v>23034037.902670663</v>
      </c>
      <c r="J2" s="52">
        <v>16371013.04664992</v>
      </c>
      <c r="K2" s="42">
        <f>IF(H2&gt;I2,IF(I2&gt;J2,I2,J2),H2)</f>
        <v>23034037.902670663</v>
      </c>
    </row>
    <row r="3" spans="1:11" s="26" customFormat="1" x14ac:dyDescent="0.25">
      <c r="A3" s="31">
        <v>2014</v>
      </c>
      <c r="B3" s="52">
        <v>24596397</v>
      </c>
      <c r="C3" s="52"/>
      <c r="D3" s="52">
        <f t="shared" ref="D3:D4" si="0">B3+C3</f>
        <v>24596397</v>
      </c>
      <c r="E3" s="53">
        <f>D3*Pristalsregulering!C7</f>
        <v>24616074.117599998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20932051</v>
      </c>
      <c r="C4" s="52"/>
      <c r="D4" s="52">
        <f t="shared" si="0"/>
        <v>20932051</v>
      </c>
      <c r="E4" s="53">
        <f>D4*Pristalsregulering!$C$6*Pristalsregulering!$C$7</f>
        <v>21263028.590411995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5" width="30.7109375" style="25" customWidth="1"/>
    <col min="6" max="6" width="30.7109375" style="58" customWidth="1"/>
    <col min="7" max="9" width="30.7109375" style="25" customWidth="1"/>
    <col min="10" max="10" width="30.7109375" style="58" customWidth="1"/>
    <col min="11" max="13" width="30.7109375" style="25" customWidth="1"/>
    <col min="14" max="14" width="30.7109375" style="58" customWidth="1"/>
    <col min="15" max="15" width="9.140625" hidden="1" customWidth="1"/>
    <col min="37" max="37" width="9.140625" hidden="1"/>
    <col min="94" max="94" width="9.140625" hidden="1"/>
    <col min="116" max="116" width="9.140625" hidden="1"/>
    <col min="124" max="124" width="9.140625" hidden="1"/>
    <col min="146" max="146" width="9.140625" hidden="1"/>
    <col min="173" max="173" width="9.140625" hidden="1"/>
    <col min="195" max="195" width="9.140625" hidden="1"/>
    <col min="203" max="203" width="9.140625" hidden="1"/>
    <col min="225" max="225" width="9.140625" hidden="1"/>
    <col min="233" max="233" width="9.140625" hidden="1"/>
    <col min="255" max="255" width="9.140625" hidden="1"/>
    <col min="274" max="274" width="9.140625" hidden="1"/>
    <col min="282" max="282" width="9.140625" hidden="1"/>
    <col min="304" max="304" width="9.140625" hidden="1"/>
    <col min="312" max="312" width="9.140625" hidden="1"/>
    <col min="334" max="334" width="9.140625" hidden="1"/>
    <col min="342" max="16384" width="9.140625" hidden="1"/>
  </cols>
  <sheetData>
    <row r="1" spans="1:14" s="30" customFormat="1" ht="15.75" thickBot="1" x14ac:dyDescent="0.3">
      <c r="A1" s="10"/>
      <c r="B1" s="36" t="s">
        <v>76</v>
      </c>
      <c r="C1" s="36"/>
      <c r="D1" s="36"/>
      <c r="E1" s="36"/>
      <c r="F1" s="66" t="s">
        <v>77</v>
      </c>
      <c r="G1" s="13"/>
      <c r="H1" s="13"/>
      <c r="I1" s="13"/>
      <c r="J1" s="66" t="s">
        <v>78</v>
      </c>
      <c r="K1" s="13"/>
      <c r="L1" s="13"/>
      <c r="M1" s="13"/>
      <c r="N1" s="66"/>
    </row>
    <row r="2" spans="1:14" ht="30.75" thickTop="1" x14ac:dyDescent="0.25">
      <c r="A2" s="20" t="s">
        <v>13</v>
      </c>
      <c r="B2" s="37" t="s">
        <v>22</v>
      </c>
      <c r="C2" s="37" t="s">
        <v>49</v>
      </c>
      <c r="D2" s="37" t="s">
        <v>50</v>
      </c>
      <c r="E2" s="37" t="s">
        <v>51</v>
      </c>
      <c r="F2" s="59" t="s">
        <v>22</v>
      </c>
      <c r="G2" s="37" t="s">
        <v>49</v>
      </c>
      <c r="H2" s="37" t="s">
        <v>50</v>
      </c>
      <c r="I2" s="37" t="s">
        <v>51</v>
      </c>
      <c r="J2" s="59" t="s">
        <v>22</v>
      </c>
      <c r="K2" s="37" t="s">
        <v>49</v>
      </c>
      <c r="L2" s="37" t="s">
        <v>50</v>
      </c>
      <c r="M2" s="37" t="s">
        <v>51</v>
      </c>
      <c r="N2" s="56" t="s">
        <v>23</v>
      </c>
    </row>
    <row r="3" spans="1:14" s="25" customFormat="1" x14ac:dyDescent="0.25">
      <c r="A3" s="31">
        <v>2016</v>
      </c>
      <c r="B3" s="75"/>
      <c r="C3" s="75">
        <v>40000</v>
      </c>
      <c r="D3" s="75">
        <v>50000</v>
      </c>
      <c r="E3" s="75">
        <v>52400</v>
      </c>
      <c r="F3" s="48">
        <f>B3</f>
        <v>0</v>
      </c>
      <c r="G3" s="38">
        <f>C3</f>
        <v>40000</v>
      </c>
      <c r="H3" s="38">
        <f>D3</f>
        <v>50000</v>
      </c>
      <c r="I3" s="38">
        <f>E3</f>
        <v>52400</v>
      </c>
      <c r="J3" s="48">
        <f>IF(F4=0,0,AVERAGEIF(F4:F6,"&lt;&gt;0"))+F3</f>
        <v>355608.78774799994</v>
      </c>
      <c r="K3" s="41">
        <f>IF(G4=0,0,AVERAGEIF(G4:G6,"&lt;&gt;0"))+G3</f>
        <v>40000</v>
      </c>
      <c r="L3" s="41">
        <f>IF(H4=0,0,AVERAGEIF(H4:H6,"&lt;&gt;0"))+H3</f>
        <v>50000</v>
      </c>
      <c r="M3" s="41">
        <f>IF(I4=0,0,AVERAGEIF(I4:I6,"&lt;&gt;0"))+I3</f>
        <v>52400</v>
      </c>
      <c r="N3" s="60">
        <f>SUM(J3:M3)</f>
        <v>498008.78774799994</v>
      </c>
    </row>
    <row r="4" spans="1:14" x14ac:dyDescent="0.25">
      <c r="A4" s="31">
        <v>2015</v>
      </c>
      <c r="B4" s="38">
        <v>293010</v>
      </c>
      <c r="C4" s="38"/>
      <c r="D4" s="38"/>
      <c r="E4" s="38"/>
      <c r="F4" s="48">
        <f>B4</f>
        <v>293010</v>
      </c>
      <c r="G4" s="38">
        <f>C4</f>
        <v>0</v>
      </c>
      <c r="H4" s="38">
        <f>D4</f>
        <v>0</v>
      </c>
      <c r="I4" s="38">
        <f>E4</f>
        <v>0</v>
      </c>
      <c r="J4" s="48"/>
      <c r="K4" s="41"/>
      <c r="L4" s="41"/>
      <c r="M4" s="41"/>
      <c r="N4" s="57"/>
    </row>
    <row r="5" spans="1:14" x14ac:dyDescent="0.25">
      <c r="A5" s="31">
        <v>2014</v>
      </c>
      <c r="B5" s="38">
        <v>317882</v>
      </c>
      <c r="C5" s="38"/>
      <c r="D5" s="38"/>
      <c r="E5" s="38"/>
      <c r="F5" s="48">
        <f>B5*Pristalsregulering!$C$7</f>
        <v>318136.30559999996</v>
      </c>
      <c r="G5" s="38">
        <f>C5*Pristalsregulering!$C$7</f>
        <v>0</v>
      </c>
      <c r="H5" s="38">
        <f>D5*Pristalsregulering!$C$7</f>
        <v>0</v>
      </c>
      <c r="I5" s="38">
        <f>E5*Pristalsregulering!$C$7</f>
        <v>0</v>
      </c>
      <c r="J5" s="48"/>
      <c r="K5" s="41"/>
      <c r="L5" s="41"/>
      <c r="M5" s="41"/>
      <c r="N5" s="48"/>
    </row>
    <row r="6" spans="1:14" x14ac:dyDescent="0.25">
      <c r="A6" s="31">
        <v>2013</v>
      </c>
      <c r="B6" s="38">
        <v>448587</v>
      </c>
      <c r="C6" s="38"/>
      <c r="D6" s="38"/>
      <c r="E6" s="38"/>
      <c r="F6" s="48">
        <f>B6*Pristalsregulering!$C$7*Pristalsregulering!$C$6</f>
        <v>455680.05764399993</v>
      </c>
      <c r="G6" s="38">
        <f>C6*Pristalsregulering!$C$7*Pristalsregulering!$C$6</f>
        <v>0</v>
      </c>
      <c r="H6" s="38">
        <f>D6*Pristalsregulering!$C$7*Pristalsregulering!$C$6</f>
        <v>0</v>
      </c>
      <c r="I6" s="38">
        <f>E6*Pristalsregulering!$C$7*Pristalsregulering!$C$6</f>
        <v>0</v>
      </c>
      <c r="J6" s="48"/>
      <c r="K6" s="41"/>
      <c r="L6" s="41"/>
      <c r="M6" s="41"/>
      <c r="N6" s="48"/>
    </row>
    <row r="7" spans="1:14" hidden="1" x14ac:dyDescent="0.25"/>
    <row r="8" spans="1:14" hidden="1" x14ac:dyDescent="0.25"/>
    <row r="9" spans="1:14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6" t="s">
        <v>24</v>
      </c>
      <c r="C1" s="77"/>
      <c r="D1" s="77"/>
      <c r="E1" s="78" t="s">
        <v>58</v>
      </c>
      <c r="F1" s="79"/>
      <c r="G1" s="80"/>
      <c r="H1" s="32"/>
    </row>
    <row r="2" spans="1:8" s="24" customFormat="1" ht="15.75" thickTop="1" x14ac:dyDescent="0.25">
      <c r="A2" s="22" t="s">
        <v>13</v>
      </c>
      <c r="B2" s="19" t="s">
        <v>25</v>
      </c>
      <c r="C2" s="23" t="s">
        <v>26</v>
      </c>
      <c r="D2" s="23" t="s">
        <v>27</v>
      </c>
      <c r="E2" s="19" t="s">
        <v>25</v>
      </c>
      <c r="F2" s="23" t="s">
        <v>26</v>
      </c>
      <c r="G2" s="49" t="s">
        <v>27</v>
      </c>
      <c r="H2" s="7" t="s">
        <v>29</v>
      </c>
    </row>
    <row r="3" spans="1:8" x14ac:dyDescent="0.25">
      <c r="A3" s="34">
        <v>2015</v>
      </c>
      <c r="B3" s="44">
        <v>17000</v>
      </c>
      <c r="C3" s="45">
        <v>103520</v>
      </c>
      <c r="D3" s="45">
        <v>0</v>
      </c>
      <c r="E3" s="44">
        <f>B3</f>
        <v>17000</v>
      </c>
      <c r="F3" s="45">
        <f t="shared" ref="F3:G3" si="0">C3</f>
        <v>103520</v>
      </c>
      <c r="G3" s="46">
        <f t="shared" si="0"/>
        <v>0</v>
      </c>
      <c r="H3" s="47">
        <f>IF(E3=0,0,AVERAGEIF(E3:E5,"&lt;&gt;0"))+IF(F3=0,0,AVERAGEIF(F3:F5,"&lt;&gt;0"))+IF(G3=0,0,AVERAGEIF(G3:G5,"&lt;&gt;0"))</f>
        <v>110047.85493333332</v>
      </c>
    </row>
    <row r="4" spans="1:8" x14ac:dyDescent="0.25">
      <c r="A4" s="34">
        <v>2014</v>
      </c>
      <c r="B4" s="44">
        <v>19000</v>
      </c>
      <c r="C4" s="45">
        <v>78400</v>
      </c>
      <c r="D4" s="45">
        <v>0</v>
      </c>
      <c r="E4" s="44">
        <f>B4*Pristalsregulering!$C$7</f>
        <v>19015.199999999997</v>
      </c>
      <c r="F4" s="45">
        <f>C4*Pristalsregulering!$C$7</f>
        <v>78462.719999999987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35200</v>
      </c>
      <c r="C5" s="45">
        <v>75200</v>
      </c>
      <c r="D5" s="45">
        <v>0</v>
      </c>
      <c r="E5" s="44">
        <f>B5*Pristalsregulering!$C$7*Pristalsregulering!$C$6</f>
        <v>35756.582399999992</v>
      </c>
      <c r="F5" s="45">
        <f>C5*Pristalsregulering!$C$7*Pristalsregulering!$C$6</f>
        <v>76389.062399999981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55</v>
      </c>
    </row>
    <row r="2" spans="1:2" ht="15.75" thickTop="1" x14ac:dyDescent="0.25">
      <c r="A2" s="31">
        <v>2015</v>
      </c>
      <c r="B2" s="52">
        <v>258655.00324261741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4"/>
      <c r="B1" s="79" t="s">
        <v>71</v>
      </c>
      <c r="C1" s="79"/>
      <c r="D1" s="80"/>
      <c r="E1" s="81" t="s">
        <v>72</v>
      </c>
      <c r="F1" s="81"/>
      <c r="G1" s="81"/>
    </row>
    <row r="2" spans="1:7" s="25" customFormat="1" ht="15.75" thickTop="1" x14ac:dyDescent="0.25">
      <c r="A2" s="72" t="s">
        <v>13</v>
      </c>
      <c r="B2" s="26" t="s">
        <v>69</v>
      </c>
      <c r="C2" s="26" t="s">
        <v>1</v>
      </c>
      <c r="D2" s="31" t="s">
        <v>70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3">
        <v>2015</v>
      </c>
      <c r="B3" s="41">
        <v>10334808.851181537</v>
      </c>
      <c r="C3" s="41">
        <v>3742398.8933333335</v>
      </c>
      <c r="D3" s="43">
        <v>483333.33333333331</v>
      </c>
      <c r="E3" s="38">
        <f>B3*Pristalsregulering!C2*Pristalsregulering!C3*Pristalsregulering!C4*Pristalsregulering!C5*Pristalsregulering!C6*Pristalsregulering!C7</f>
        <v>11251495.700490635</v>
      </c>
      <c r="F3" s="38">
        <v>3851390.4611417092</v>
      </c>
      <c r="G3" s="38">
        <f>D3</f>
        <v>483333.33333333331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1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6" t="s">
        <v>40</v>
      </c>
      <c r="C1" s="77"/>
      <c r="D1" s="77"/>
      <c r="E1" s="77"/>
      <c r="F1" s="78" t="s">
        <v>59</v>
      </c>
      <c r="G1" s="79"/>
      <c r="H1" s="79"/>
      <c r="I1" s="79"/>
      <c r="J1" s="82" t="s">
        <v>29</v>
      </c>
      <c r="K1" s="81"/>
      <c r="L1" s="83"/>
      <c r="M1" s="16"/>
    </row>
    <row r="2" spans="1:14" s="29" customFormat="1" ht="15.75" thickTop="1" x14ac:dyDescent="0.25">
      <c r="A2" s="22" t="s">
        <v>13</v>
      </c>
      <c r="B2" s="9" t="s">
        <v>41</v>
      </c>
      <c r="C2" s="8" t="s">
        <v>42</v>
      </c>
      <c r="D2" s="8" t="s">
        <v>43</v>
      </c>
      <c r="E2" s="54" t="s">
        <v>44</v>
      </c>
      <c r="F2" s="8" t="s">
        <v>41</v>
      </c>
      <c r="G2" s="8" t="s">
        <v>42</v>
      </c>
      <c r="H2" s="8" t="s">
        <v>43</v>
      </c>
      <c r="I2" s="54" t="s">
        <v>44</v>
      </c>
      <c r="J2" s="23" t="s">
        <v>45</v>
      </c>
      <c r="K2" s="23" t="s">
        <v>42</v>
      </c>
      <c r="L2" s="18" t="s">
        <v>75</v>
      </c>
      <c r="M2" s="7" t="s">
        <v>28</v>
      </c>
      <c r="N2" s="35"/>
    </row>
    <row r="3" spans="1:14" x14ac:dyDescent="0.25">
      <c r="A3" s="31">
        <v>2015</v>
      </c>
      <c r="B3" s="48">
        <v>0</v>
      </c>
      <c r="C3" s="41">
        <v>1659539</v>
      </c>
      <c r="D3" s="41">
        <v>0</v>
      </c>
      <c r="E3" s="43">
        <v>0</v>
      </c>
      <c r="F3" s="41">
        <f>B3</f>
        <v>0</v>
      </c>
      <c r="G3" s="41">
        <f>C3</f>
        <v>1659539</v>
      </c>
      <c r="H3" s="41">
        <f>D3</f>
        <v>0</v>
      </c>
      <c r="I3" s="43">
        <f>E3</f>
        <v>0</v>
      </c>
      <c r="J3" s="45">
        <f>AVERAGE(F3:F5)</f>
        <v>37585.043999999994</v>
      </c>
      <c r="K3" s="45">
        <f>G3</f>
        <v>1659539</v>
      </c>
      <c r="L3" s="46">
        <f>AVERAGE(H3:H5)+AVERAGE(I3:I5)</f>
        <v>0</v>
      </c>
      <c r="M3" s="47">
        <f>SUM(J3:L3)</f>
        <v>1697124.044</v>
      </c>
      <c r="N3" s="26"/>
    </row>
    <row r="4" spans="1:14" x14ac:dyDescent="0.25">
      <c r="A4" s="31">
        <v>2014</v>
      </c>
      <c r="B4" s="48">
        <v>0</v>
      </c>
      <c r="C4" s="41">
        <v>1823591</v>
      </c>
      <c r="D4" s="41">
        <v>0</v>
      </c>
      <c r="E4" s="43">
        <v>0</v>
      </c>
      <c r="F4" s="41">
        <f>IF(B4="","",B4*Pristalsregulering!$C$7)</f>
        <v>0</v>
      </c>
      <c r="G4" s="41">
        <f>IF(C4="","",C4*Pristalsregulering!$C$7)</f>
        <v>1825049.8727999998</v>
      </c>
      <c r="H4" s="41">
        <f>IF(D4="","",D4*Pristalsregulering!$C$7)</f>
        <v>0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111000</v>
      </c>
      <c r="C5" s="41">
        <v>1941847</v>
      </c>
      <c r="D5" s="41">
        <v>0</v>
      </c>
      <c r="E5" s="43">
        <v>0</v>
      </c>
      <c r="F5" s="41">
        <f>IF(B5="","",B5*Pristalsregulering!$C$7*Pristalsregulering!$C$6)</f>
        <v>112755.13199999998</v>
      </c>
      <c r="G5" s="41">
        <f>IF(C5="","",C5*Pristalsregulering!$C$7*Pristalsregulering!$C$6)</f>
        <v>1972551.4847639997</v>
      </c>
      <c r="H5" s="41">
        <f>IF(D5="","",D5*Pristalsregulering!$C$7*Pristalsregulering!$C$6)</f>
        <v>0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69" t="s">
        <v>30</v>
      </c>
      <c r="C1" s="69" t="s">
        <v>31</v>
      </c>
      <c r="D1" s="69" t="s">
        <v>32</v>
      </c>
      <c r="E1" s="69" t="s">
        <v>33</v>
      </c>
      <c r="F1" s="69" t="s">
        <v>34</v>
      </c>
      <c r="G1" s="69" t="s">
        <v>35</v>
      </c>
      <c r="H1" s="69" t="s">
        <v>36</v>
      </c>
      <c r="I1" s="69" t="s">
        <v>37</v>
      </c>
      <c r="J1" s="69" t="s">
        <v>38</v>
      </c>
      <c r="K1" s="69" t="s">
        <v>60</v>
      </c>
      <c r="L1" s="70" t="s">
        <v>39</v>
      </c>
      <c r="M1" s="17" t="s">
        <v>28</v>
      </c>
    </row>
    <row r="2" spans="1:13" ht="15.75" thickTop="1" x14ac:dyDescent="0.25">
      <c r="A2" s="34">
        <v>2015</v>
      </c>
      <c r="B2" s="45">
        <v>32523</v>
      </c>
      <c r="C2" s="45">
        <v>0</v>
      </c>
      <c r="D2" s="45">
        <v>505211</v>
      </c>
      <c r="E2" s="45">
        <v>387464</v>
      </c>
      <c r="F2" s="45">
        <v>0</v>
      </c>
      <c r="G2" s="45">
        <v>0</v>
      </c>
      <c r="H2" s="45">
        <v>3150662</v>
      </c>
      <c r="I2" s="45">
        <v>0</v>
      </c>
      <c r="J2" s="45"/>
      <c r="K2" s="45"/>
      <c r="L2" s="46">
        <v>0</v>
      </c>
      <c r="M2" s="47">
        <f>SUM(B2:L2)</f>
        <v>4075860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46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46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7" t="s">
        <v>61</v>
      </c>
      <c r="B2" s="68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52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53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2016-11-11T16:24:56Z</dcterms:modified>
</cp:coreProperties>
</file>