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5" i="16"/>
  <c r="E5" i="16"/>
  <c r="G5" i="16"/>
  <c r="F6" i="16"/>
  <c r="J3" i="24"/>
  <c r="E6" i="16"/>
  <c r="G6" i="16"/>
  <c r="J3" i="16" l="1"/>
  <c r="I3" i="16"/>
  <c r="M3" i="24"/>
  <c r="B10" i="12" s="1"/>
  <c r="B11" i="12" s="1"/>
  <c r="H3" i="16"/>
  <c r="H3" i="17"/>
  <c r="B4" i="12" s="1"/>
  <c r="I2" i="15"/>
  <c r="K2" i="15" s="1"/>
  <c r="B2" i="12" s="1"/>
  <c r="K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<sst xmlns="http://schemas.openxmlformats.org/spreadsheetml/2006/main" count="118" uniqueCount="78">
  <si>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</si>
  <si>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</si>
  <si>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</si>
  <si>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</si>
  <si>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</si>
  <si>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</si>
  <si>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</si>
  <si>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</si>
  <si>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</si>
  <si>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</si>
  <si>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</si>
  <si>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</si>
  <si>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</si>
  <si>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</si>
  <si>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</si>
  <si>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</si>
  <si>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</si>
  <si>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</si>
  <si>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</si>
  <si>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</si>
  <si>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</si>
  <si>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</si>
  <si>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</si>
  <si>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Badevandskvalitet</t>
  </si>
  <si>
    <t>Undersøgelse ved. Alternativ energikilde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</si>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</sst>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17642684.80329904</v>
      </c>
      <c r="C2" t="s">
        <v>11</v>
      </c>
    </row>
    <row r="3" spans="1:3" s="2" customFormat="1" x14ac:dyDescent="0.25">
      <c r="A3" s="6" t="s">
        <v>8</v>
      </c>
      <c r="B3" s="39">
        <f>'Miljø- og servicemål'!K3</f>
        <v>197636.41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57987.780199999994</v>
      </c>
      <c r="C4" t="s">
        <v>11</v>
      </c>
    </row>
    <row r="5" spans="1:3" s="29" customFormat="1" x14ac:dyDescent="0.25">
      <c r="A5" s="5" t="s">
        <v>53</v>
      </c>
      <c r="B5" s="38">
        <f>'Periodevise driftsomkostninger'!B2</f>
        <v>478943.16825599992</v>
      </c>
      <c r="C5" s="3" t="s">
        <v>11</v>
      </c>
    </row>
    <row r="6" spans="1:3" s="29" customFormat="1" x14ac:dyDescent="0.25">
      <c r="A6" s="4" t="s">
        <v>12</v>
      </c>
      <c r="B6" s="51">
        <f>SUM(B2:B5)</f>
        <v>18377252.16175504</v>
      </c>
      <c r="C6" s="65" t="s">
        <v>11</v>
      </c>
    </row>
    <row r="7" spans="1:3" x14ac:dyDescent="0.25">
      <c r="A7" s="50" t="s">
        <v>0</v>
      </c>
      <c r="B7" s="41">
        <f>Investeringer!E3</f>
        <v>30407037.924748078</v>
      </c>
      <c r="C7" s="26" t="s">
        <v>11</v>
      </c>
    </row>
    <row r="8" spans="1:3" x14ac:dyDescent="0.25">
      <c r="A8" s="5" t="s">
        <v>1</v>
      </c>
      <c r="B8" s="38">
        <f>Investeringer!F3</f>
        <v>5794003.6625464484</v>
      </c>
      <c r="C8" t="s">
        <v>11</v>
      </c>
    </row>
    <row r="9" spans="1:3" x14ac:dyDescent="0.25">
      <c r="A9" s="5" t="s">
        <v>2</v>
      </c>
      <c r="B9" s="38">
        <f>Investeringer!G3</f>
        <v>1011333.3333333334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4282136</v>
      </c>
      <c r="C10" t="s">
        <v>11</v>
      </c>
    </row>
    <row r="11" spans="1:3" s="25" customFormat="1" x14ac:dyDescent="0.25">
      <c r="A11" s="4" t="s">
        <v>49</v>
      </c>
      <c r="B11" s="51">
        <f>SUM(B7:B10)</f>
        <v>41494510.920627862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909324.64</v>
      </c>
      <c r="C12" t="s">
        <v>11</v>
      </c>
    </row>
    <row r="13" spans="1:3" s="25" customFormat="1" x14ac:dyDescent="0.25">
      <c r="A13" s="4" t="s">
        <v>72</v>
      </c>
      <c r="B13" s="51">
        <f>SUM(B12:B12)</f>
        <v>909324.64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61</v>
      </c>
      <c r="B15" s="40">
        <f>SUM(B6,B11,B13)</f>
        <v>60781087.722382903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55</v>
      </c>
      <c r="B17" s="40">
        <f>B15*Pristalsregulering!C8*Pristalsregulering!C9</f>
        <v>61319106.107818618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62</v>
      </c>
      <c r="D1" s="62" t="s">
        <v>63</v>
      </c>
      <c r="E1" s="62" t="s">
        <v>56</v>
      </c>
      <c r="F1" s="55" t="s">
        <v>64</v>
      </c>
      <c r="G1" s="55" t="s">
        <v>73</v>
      </c>
      <c r="H1" s="55" t="s">
        <v>65</v>
      </c>
      <c r="I1" s="55" t="s">
        <v>50</v>
      </c>
      <c r="J1" s="14" t="s">
        <v>66</v>
      </c>
      <c r="K1" s="14" t="s">
        <v>67</v>
      </c>
    </row>
    <row r="2" spans="1:11" s="26" customFormat="1" ht="15.75" thickTop="1" x14ac:dyDescent="0.25">
      <c r="A2" s="31">
        <v>2015</v>
      </c>
      <c r="B2" s="52">
        <v>17406628.710000001</v>
      </c>
      <c r="C2" s="52">
        <v>0</v>
      </c>
      <c r="D2" s="52">
        <f>B2+C2</f>
        <v>17406628.710000001</v>
      </c>
      <c r="E2" s="53">
        <f>D2</f>
        <v>17406628.710000001</v>
      </c>
      <c r="F2" s="52">
        <v>22038685.819171678</v>
      </c>
      <c r="G2" s="52">
        <v>585192.02439599996</v>
      </c>
      <c r="H2" s="52">
        <f>F2-G2</f>
        <v>21453493.79477568</v>
      </c>
      <c r="I2" s="52">
        <f>AVERAGEIF(E2:E4,"&lt;&gt;0")</f>
        <v>17225607.531571999</v>
      </c>
      <c r="J2" s="52">
        <v>17642684.80329904</v>
      </c>
      <c r="K2" s="42">
        <f>IF(H2&gt;I2,IF(I2&gt;J2,I2,J2),H2)</f>
        <v>17642684.80329904</v>
      </c>
    </row>
    <row r="3" spans="1:11" s="26" customFormat="1" x14ac:dyDescent="0.25">
      <c r="A3" s="31">
        <v>2014</v>
      </c>
      <c r="B3" s="52">
        <v>17449581</v>
      </c>
      <c r="C3" s="52"/>
      <c r="D3" s="52">
        <f t="shared" ref="D3:D4" si="0">B3+C3</f>
        <v>17449581</v>
      </c>
      <c r="E3" s="53">
        <f>D3*Pristalsregulering!C7</f>
        <v>17463540.664799999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16545043</v>
      </c>
      <c r="C4" s="52"/>
      <c r="D4" s="52">
        <f t="shared" si="0"/>
        <v>16545043</v>
      </c>
      <c r="E4" s="53">
        <f>D4*Pristalsregulering!$C$6*Pristalsregulering!$C$7</f>
        <v>16806653.219915997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8" customWidth="1"/>
    <col min="6" max="7" width="30.7109375" customWidth="1"/>
    <col min="8" max="8" width="30.7109375" style="58" customWidth="1"/>
    <col min="9" max="10" width="30.7109375" customWidth="1"/>
    <col min="11" max="11" width="30.7109375" style="58" customWidth="1"/>
    <col min="12" max="12" width="9.140625" hidden="1" customWidth="1"/>
    <col min="45" max="45" width="9.140625" hidden="1"/>
    <col min="69" max="69" width="9.140625" hidden="1"/>
    <col min="75" max="75" width="9.140625" hidden="1"/>
    <col min="99" max="99" width="9.140625" hidden="1"/>
    <col min="101" max="101" width="9.140625" hidden="1"/>
    <col min="125" max="125" width="9.140625" hidden="1"/>
    <col min="131" max="131" width="9.140625" hidden="1"/>
    <col min="155" max="155" width="9.140625" hidden="1"/>
    <col min="179" max="179" width="9.140625" hidden="1"/>
    <col min="185" max="185" width="9.140625" hidden="1"/>
    <col min="209" max="209" width="9.140625" hidden="1"/>
    <col min="211" max="211" width="9.140625" hidden="1"/>
    <col min="235" max="235" width="9.140625" hidden="1"/>
    <col min="241" max="241" width="9.140625" hidden="1"/>
    <col min="265" max="265" width="9.140625" hidden="1"/>
    <col min="289" max="289" width="9.140625" hidden="1"/>
    <col min="295" max="295" width="9.140625" hidden="1"/>
    <col min="319" max="319" width="9.140625" hidden="1"/>
    <col min="342" max="16384" width="9.140625" hidden="1"/>
  </cols>
  <sheetData>
    <row r="1" spans="1:11" s="30" customFormat="1" ht="15.75" thickBot="1" x14ac:dyDescent="0.3">
      <c r="A1" s="10"/>
      <c r="B1" s="36" t="s">
        <v>75</v>
      </c>
      <c r="C1" s="36"/>
      <c r="D1" s="36"/>
      <c r="E1" s="66" t="s">
        <v>76</v>
      </c>
      <c r="F1" s="13"/>
      <c r="G1" s="13"/>
      <c r="H1" s="66" t="s">
        <v>77</v>
      </c>
      <c r="I1" s="13"/>
      <c r="J1" s="13"/>
      <c r="K1" s="66"/>
    </row>
    <row r="2" spans="1:11" ht="30.75" thickTop="1" x14ac:dyDescent="0.25">
      <c r="A2" s="20" t="s">
        <v>13</v>
      </c>
      <c r="B2" s="37" t="s">
        <v>22</v>
      </c>
      <c r="C2" s="37" t="s">
        <v>23</v>
      </c>
      <c r="D2" s="37" t="s">
        <v>24</v>
      </c>
      <c r="E2" s="59" t="s">
        <v>22</v>
      </c>
      <c r="F2" s="37" t="s">
        <v>23</v>
      </c>
      <c r="G2" s="37" t="s">
        <v>24</v>
      </c>
      <c r="H2" s="59" t="s">
        <v>22</v>
      </c>
      <c r="I2" s="37" t="s">
        <v>23</v>
      </c>
      <c r="J2" s="37" t="s">
        <v>24</v>
      </c>
      <c r="K2" s="56" t="s">
        <v>25</v>
      </c>
    </row>
    <row r="3" spans="1:11" s="25" customFormat="1" x14ac:dyDescent="0.25">
      <c r="A3" s="31">
        <v>2016</v>
      </c>
      <c r="B3" s="75"/>
      <c r="C3" s="75"/>
      <c r="D3" s="75"/>
      <c r="E3" s="48">
        <f>B3</f>
        <v>0</v>
      </c>
      <c r="F3" s="38">
        <f>C3</f>
        <v>0</v>
      </c>
      <c r="G3" s="38">
        <f>D3</f>
        <v>0</v>
      </c>
      <c r="H3" s="48">
        <f>IF(E4=0,0,AVERAGEIF(E4:E6,"&lt;&gt;0"))+E3</f>
        <v>26589.505000000001</v>
      </c>
      <c r="I3" s="41">
        <f>IF(F4=0,0,AVERAGEIF(F4:F6,"&lt;&gt;0"))+F3</f>
        <v>136596.905</v>
      </c>
      <c r="J3" s="41">
        <f>IF(G4=0,0,AVERAGEIF(G4:G6,"&lt;&gt;0"))+G3</f>
        <v>34450</v>
      </c>
      <c r="K3" s="60">
        <f>SUM(H3:J3)</f>
        <v>197636.41</v>
      </c>
    </row>
    <row r="4" spans="1:11" x14ac:dyDescent="0.25">
      <c r="A4" s="31">
        <v>2015</v>
      </c>
      <c r="B4" s="38">
        <v>48788</v>
      </c>
      <c r="C4" s="38">
        <v>170411.65</v>
      </c>
      <c r="D4" s="38">
        <v>34450</v>
      </c>
      <c r="E4" s="48">
        <f>B4</f>
        <v>48788</v>
      </c>
      <c r="F4" s="38">
        <f>C4</f>
        <v>170411.65</v>
      </c>
      <c r="G4" s="38">
        <f>D4</f>
        <v>34450</v>
      </c>
      <c r="H4" s="48"/>
      <c r="I4" s="41"/>
      <c r="J4" s="41"/>
      <c r="K4" s="57"/>
    </row>
    <row r="5" spans="1:11" x14ac:dyDescent="0.25">
      <c r="A5" s="31">
        <v>2014</v>
      </c>
      <c r="B5" s="38">
        <v>4387.5</v>
      </c>
      <c r="C5" s="38">
        <v>102700</v>
      </c>
      <c r="D5" s="38"/>
      <c r="E5" s="48">
        <f>B5*Pristalsregulering!$C$7</f>
        <v>4391.0099999999993</v>
      </c>
      <c r="F5" s="38">
        <f>C5*Pristalsregulering!$C$7</f>
        <v>102782.15999999999</v>
      </c>
      <c r="G5" s="38">
        <f>D5*Pristalsregulering!$C$7</f>
        <v>0</v>
      </c>
      <c r="H5" s="48"/>
      <c r="I5" s="38"/>
      <c r="J5" s="38"/>
      <c r="K5" s="48"/>
    </row>
    <row r="6" spans="1:11" x14ac:dyDescent="0.25">
      <c r="A6" s="31">
        <v>2013</v>
      </c>
      <c r="B6" s="38"/>
      <c r="C6" s="38"/>
      <c r="D6" s="38"/>
      <c r="E6" s="48">
        <f>B6*Pristalsregulering!$C$7*Pristalsregulering!$C$6</f>
        <v>0</v>
      </c>
      <c r="F6" s="38">
        <f>C6*Pristalsregulering!$C$7*Pristalsregulering!$C$6</f>
        <v>0</v>
      </c>
      <c r="G6" s="38">
        <f>D6*Pristalsregulering!$C$7*Pristalsregulering!$C$6</f>
        <v>0</v>
      </c>
      <c r="H6" s="48"/>
      <c r="I6" s="38"/>
      <c r="J6" s="38"/>
      <c r="K6" s="48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26</v>
      </c>
      <c r="C1" s="77"/>
      <c r="D1" s="77"/>
      <c r="E1" s="78" t="s">
        <v>57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27</v>
      </c>
      <c r="C2" s="23" t="s">
        <v>28</v>
      </c>
      <c r="D2" s="23" t="s">
        <v>29</v>
      </c>
      <c r="E2" s="19" t="s">
        <v>27</v>
      </c>
      <c r="F2" s="23" t="s">
        <v>28</v>
      </c>
      <c r="G2" s="49" t="s">
        <v>29</v>
      </c>
      <c r="H2" s="7" t="s">
        <v>31</v>
      </c>
    </row>
    <row r="3" spans="1:8" x14ac:dyDescent="0.25">
      <c r="A3" s="34">
        <v>2015</v>
      </c>
      <c r="B3" s="44">
        <v>9500</v>
      </c>
      <c r="C3" s="45">
        <v>51760</v>
      </c>
      <c r="D3" s="45">
        <v>0</v>
      </c>
      <c r="E3" s="44">
        <f>B3</f>
        <v>9500</v>
      </c>
      <c r="F3" s="45">
        <f t="shared" ref="F3:G3" si="0">C3</f>
        <v>51760</v>
      </c>
      <c r="G3" s="46">
        <f t="shared" si="0"/>
        <v>0</v>
      </c>
      <c r="H3" s="47">
        <f>IF(E3=0,0,AVERAGEIF(E3:E5,"&lt;&gt;0"))+IF(F3=0,0,AVERAGEIF(F3:F5,"&lt;&gt;0"))+IF(G3=0,0,AVERAGEIF(G3:G5,"&lt;&gt;0"))</f>
        <v>57987.780199999994</v>
      </c>
    </row>
    <row r="4" spans="1:8" x14ac:dyDescent="0.25">
      <c r="A4" s="34">
        <v>2014</v>
      </c>
      <c r="B4" s="44">
        <v>15000</v>
      </c>
      <c r="C4" s="45">
        <v>39200</v>
      </c>
      <c r="D4" s="45">
        <v>0</v>
      </c>
      <c r="E4" s="44">
        <f>B4*Pristalsregulering!$C$7</f>
        <v>15011.999999999998</v>
      </c>
      <c r="F4" s="45">
        <f>C4*Pristalsregulering!$C$7</f>
        <v>39231.359999999993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19950</v>
      </c>
      <c r="C5" s="45">
        <v>37600</v>
      </c>
      <c r="D5" s="45">
        <v>0</v>
      </c>
      <c r="E5" s="44">
        <f>B5*Pristalsregulering!$C$7*Pristalsregulering!$C$6</f>
        <v>20265.449399999998</v>
      </c>
      <c r="F5" s="45">
        <f>C5*Pristalsregulering!$C$7*Pristalsregulering!$C$6</f>
        <v>38194.53119999999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54</v>
      </c>
    </row>
    <row r="2" spans="1:2" ht="15.75" thickTop="1" x14ac:dyDescent="0.25">
      <c r="A2" s="31">
        <v>2015</v>
      </c>
      <c r="B2" s="52">
        <v>478943.16825599992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70</v>
      </c>
      <c r="C1" s="79"/>
      <c r="D1" s="80"/>
      <c r="E1" s="81" t="s">
        <v>71</v>
      </c>
      <c r="F1" s="81"/>
      <c r="G1" s="81"/>
    </row>
    <row r="2" spans="1:7" s="25" customFormat="1" ht="15.75" thickTop="1" x14ac:dyDescent="0.25">
      <c r="A2" s="72" t="s">
        <v>13</v>
      </c>
      <c r="B2" s="26" t="s">
        <v>68</v>
      </c>
      <c r="C2" s="26" t="s">
        <v>1</v>
      </c>
      <c r="D2" s="31" t="s">
        <v>69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27929702.241204772</v>
      </c>
      <c r="C3" s="41">
        <v>5669499.2466666643</v>
      </c>
      <c r="D3" s="43">
        <v>1011333.3333333334</v>
      </c>
      <c r="E3" s="38">
        <f>B3*Pristalsregulering!C2*Pristalsregulering!C3*Pristalsregulering!C4*Pristalsregulering!C5*Pristalsregulering!C6*Pristalsregulering!C7</f>
        <v>30407037.924748078</v>
      </c>
      <c r="F3" s="38">
        <v>5794003.6625464484</v>
      </c>
      <c r="G3" s="38">
        <f>D3</f>
        <v>1011333.3333333334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42</v>
      </c>
      <c r="C1" s="77"/>
      <c r="D1" s="77"/>
      <c r="E1" s="77"/>
      <c r="F1" s="78" t="s">
        <v>58</v>
      </c>
      <c r="G1" s="79"/>
      <c r="H1" s="79"/>
      <c r="I1" s="79"/>
      <c r="J1" s="82" t="s">
        <v>31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43</v>
      </c>
      <c r="C2" s="8" t="s">
        <v>44</v>
      </c>
      <c r="D2" s="8" t="s">
        <v>45</v>
      </c>
      <c r="E2" s="54" t="s">
        <v>46</v>
      </c>
      <c r="F2" s="8" t="s">
        <v>43</v>
      </c>
      <c r="G2" s="8" t="s">
        <v>44</v>
      </c>
      <c r="H2" s="8" t="s">
        <v>45</v>
      </c>
      <c r="I2" s="54" t="s">
        <v>46</v>
      </c>
      <c r="J2" s="23" t="s">
        <v>47</v>
      </c>
      <c r="K2" s="23" t="s">
        <v>44</v>
      </c>
      <c r="L2" s="18" t="s">
        <v>74</v>
      </c>
      <c r="M2" s="7" t="s">
        <v>30</v>
      </c>
      <c r="N2" s="35"/>
    </row>
    <row r="3" spans="1:14" x14ac:dyDescent="0.25">
      <c r="A3" s="31">
        <v>2015</v>
      </c>
      <c r="B3" s="48">
        <v>0</v>
      </c>
      <c r="C3" s="41">
        <v>4282136</v>
      </c>
      <c r="D3" s="41">
        <v>0</v>
      </c>
      <c r="E3" s="43">
        <v>0</v>
      </c>
      <c r="F3" s="41">
        <f>B3</f>
        <v>0</v>
      </c>
      <c r="G3" s="41">
        <f>C3</f>
        <v>4282136</v>
      </c>
      <c r="H3" s="41">
        <f>D3</f>
        <v>0</v>
      </c>
      <c r="I3" s="43">
        <f>E3</f>
        <v>0</v>
      </c>
      <c r="J3" s="45">
        <f>AVERAGE(F3:F5)</f>
        <v>0</v>
      </c>
      <c r="K3" s="45">
        <f>G3</f>
        <v>4282136</v>
      </c>
      <c r="L3" s="46">
        <f>AVERAGE(H3:H5)+AVERAGE(I3:I5)</f>
        <v>0</v>
      </c>
      <c r="M3" s="47">
        <f>SUM(J3:L3)</f>
        <v>4282136</v>
      </c>
      <c r="N3" s="26"/>
    </row>
    <row r="4" spans="1:14" x14ac:dyDescent="0.25">
      <c r="A4" s="31">
        <v>2014</v>
      </c>
      <c r="B4" s="48">
        <v>0</v>
      </c>
      <c r="C4" s="41">
        <v>3754542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3757545.6335999998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3004161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3051662.7937319996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32</v>
      </c>
      <c r="C1" s="69" t="s">
        <v>33</v>
      </c>
      <c r="D1" s="69" t="s">
        <v>34</v>
      </c>
      <c r="E1" s="69" t="s">
        <v>35</v>
      </c>
      <c r="F1" s="69" t="s">
        <v>36</v>
      </c>
      <c r="G1" s="69" t="s">
        <v>37</v>
      </c>
      <c r="H1" s="69" t="s">
        <v>38</v>
      </c>
      <c r="I1" s="69" t="s">
        <v>39</v>
      </c>
      <c r="J1" s="69" t="s">
        <v>40</v>
      </c>
      <c r="K1" s="69" t="s">
        <v>59</v>
      </c>
      <c r="L1" s="70" t="s">
        <v>41</v>
      </c>
      <c r="M1" s="17" t="s">
        <v>30</v>
      </c>
    </row>
    <row r="2" spans="1:13" ht="15.75" thickTop="1" x14ac:dyDescent="0.25">
      <c r="A2" s="34">
        <v>2015</v>
      </c>
      <c r="B2" s="45">
        <v>16261</v>
      </c>
      <c r="C2" s="45">
        <v>18073</v>
      </c>
      <c r="D2" s="45">
        <v>63925.64</v>
      </c>
      <c r="E2" s="45">
        <v>0</v>
      </c>
      <c r="F2" s="45">
        <v>0</v>
      </c>
      <c r="G2" s="45">
        <v>0</v>
      </c>
      <c r="H2" s="45">
        <v>811065</v>
      </c>
      <c r="I2" s="45">
        <v>0</v>
      </c>
      <c r="J2" s="45"/>
      <c r="K2" s="45"/>
      <c r="L2" s="46">
        <v>0</v>
      </c>
      <c r="M2" s="47">
        <f>SUM(B2:L2)</f>
        <v>909324.64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48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48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60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51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52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2016-11-11T16:25:17Z</dcterms:modified>
</cp:coreProperties>
</file>