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D3" i="16"/>
  <c r="E3" i="16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5" i="17"/>
  <c r="F4" i="17"/>
  <c r="E5" i="17"/>
  <c r="G4" i="17"/>
  <c r="E4" i="17"/>
  <c r="F5" i="17"/>
  <c r="D6" i="16"/>
  <c r="J3" i="24"/>
  <c r="D5" i="16"/>
  <c r="F3" i="16" s="1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<sst xmlns="http://schemas.openxmlformats.org/spreadsheetml/2006/main" count="111" uniqueCount="75">
  <si>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</si>
  <si>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</si>
  <si>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</si>
  <si>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</si>
  <si>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</si>
  <si>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</si>
  <si>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</si>
  <si>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</si>
  <si>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</si>
  <si>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</si>
  <si>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</si>
  <si>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</si>
  <si>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</si>
  <si>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</si>
  <si>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</si>
  <si>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</si>
  <si>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</si>
  <si>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</si>
  <si>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</si>
  <si>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</si>
  <si>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</si>
  <si>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</si>
  <si>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Skærpede rensningskrav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</si>
  <si>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</si>
  <si>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</si>
  <si>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</si>
  <si>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</si>
  <si>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</si>
  <si>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</si>
  <si>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</si>
  <si>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</si>
  <si>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</si>
  <si>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</si>
  <si>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</si>
  <si>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</si>
  <si>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</si>
  <si>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</si>
  <si>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</si>
  <si>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</si>
  <si>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</si>
  <si>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</si>
  <si>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</si>
  <si>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</si>
  <si>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</si>
  <si>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</si>
  <si>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</si>
  <si>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</si>
  <si>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</si>
  <si>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</si>
  <si>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Regnvandspumpe (drift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</si>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</sst>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28471403.471775997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211000.62276666667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127279.79719999999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28809683.891742665</v>
      </c>
      <c r="C5" s="62" t="s">
        <v>11</v>
      </c>
    </row>
    <row r="6" spans="1:3" x14ac:dyDescent="0.25">
      <c r="A6" s="47" t="s">
        <v>0</v>
      </c>
      <c r="B6" s="38">
        <f>Investeringer!E3</f>
        <v>55432612.30752673</v>
      </c>
      <c r="C6" s="23" t="s">
        <v>11</v>
      </c>
    </row>
    <row r="7" spans="1:3" x14ac:dyDescent="0.25">
      <c r="A7" s="4" t="s">
        <v>1</v>
      </c>
      <c r="B7" s="35">
        <f>Investeringer!F3</f>
        <v>15819416.572198899</v>
      </c>
      <c r="C7" t="s">
        <v>11</v>
      </c>
    </row>
    <row r="8" spans="1:3" x14ac:dyDescent="0.25">
      <c r="A8" s="4" t="s">
        <v>2</v>
      </c>
      <c r="B8" s="35">
        <f>Investeringer!G3</f>
        <v>483333.33333333331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9590621.1223799996</v>
      </c>
      <c r="C9" t="s">
        <v>11</v>
      </c>
    </row>
    <row r="10" spans="1:3" s="22" customFormat="1" x14ac:dyDescent="0.25">
      <c r="A10" s="3" t="s">
        <v>47</v>
      </c>
      <c r="B10" s="48">
        <f>SUM(B6:B9)</f>
        <v>81325983.335438967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1623093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1623093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111758760.22718163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112748019.71543498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25095675</v>
      </c>
      <c r="C2" s="49">
        <v>0</v>
      </c>
      <c r="D2" s="49">
        <f>B2+C2</f>
        <v>25095675</v>
      </c>
      <c r="E2" s="50">
        <f>D2</f>
        <v>25095675</v>
      </c>
      <c r="F2" s="49">
        <v>29277546.847983878</v>
      </c>
      <c r="G2" s="49">
        <v>0</v>
      </c>
      <c r="H2" s="49">
        <f>F2-G2</f>
        <v>29277546.847983878</v>
      </c>
      <c r="I2" s="49">
        <f>AVERAGEIF(E2:E4,"&lt;&gt;0")</f>
        <v>28471403.471775997</v>
      </c>
      <c r="J2" s="49">
        <v>22446371.50871959</v>
      </c>
      <c r="K2" s="39">
        <f>IF(H2&gt;I2,IF(I2&gt;J2,I2,J2),H2)</f>
        <v>28471403.471775997</v>
      </c>
    </row>
    <row r="3" spans="1:11" s="23" customFormat="1" x14ac:dyDescent="0.25">
      <c r="A3" s="28">
        <v>2014</v>
      </c>
      <c r="B3" s="49">
        <v>27586767</v>
      </c>
      <c r="C3" s="49"/>
      <c r="D3" s="49">
        <f t="shared" ref="D3:D4" si="0">B3+C3</f>
        <v>27586767</v>
      </c>
      <c r="E3" s="50">
        <f>D3*Pristalsregulering!C7</f>
        <v>27608836.413599998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32200544</v>
      </c>
      <c r="C4" s="49"/>
      <c r="D4" s="49">
        <f t="shared" si="0"/>
        <v>32200544</v>
      </c>
      <c r="E4" s="50">
        <f>D4*Pristalsregulering!$C$6*Pristalsregulering!$C$7</f>
        <v>32709699.001727995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style="22" customWidth="1"/>
    <col min="8" max="8" width="30.7109375" style="55" customWidth="1"/>
    <col min="9" max="9" width="9.140625" hidden="1" customWidth="1"/>
    <col min="15" max="15" width="9.140625" hidden="1"/>
    <col min="57" max="57" width="9.140625" hidden="1"/>
    <col min="63" max="63" width="9.140625" hidden="1"/>
    <col min="72" max="72" width="9.140625" hidden="1"/>
    <col min="78" max="78" width="9.140625" hidden="1"/>
    <col min="120" max="120" width="9.140625" hidden="1"/>
    <col min="126" max="126" width="9.140625" hidden="1"/>
    <col min="168" max="168" width="9.140625" hidden="1"/>
    <col min="174" max="174" width="9.140625" hidden="1"/>
    <col min="183" max="183" width="9.140625" hidden="1"/>
    <col min="189" max="189" width="9.140625" hidden="1"/>
    <col min="231" max="231" width="9.140625" hidden="1"/>
    <col min="237" max="237" width="9.140625" hidden="1"/>
    <col min="279" max="279" width="9.140625" hidden="1"/>
    <col min="285" max="285" width="9.140625" hidden="1"/>
    <col min="288" max="288" width="9.140625" hidden="1"/>
    <col min="294" max="294" width="9.140625" hidden="1"/>
    <col min="336" max="336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49</v>
      </c>
      <c r="D2" s="56" t="s">
        <v>22</v>
      </c>
      <c r="E2" s="34" t="s">
        <v>49</v>
      </c>
      <c r="F2" s="56" t="s">
        <v>22</v>
      </c>
      <c r="G2" s="34" t="s">
        <v>49</v>
      </c>
      <c r="H2" s="53" t="s">
        <v>23</v>
      </c>
    </row>
    <row r="3" spans="1:8" s="22" customFormat="1" x14ac:dyDescent="0.25">
      <c r="A3" s="28">
        <v>2016</v>
      </c>
      <c r="B3" s="72"/>
      <c r="C3" s="72">
        <v>75000</v>
      </c>
      <c r="D3" s="45">
        <f>B3</f>
        <v>0</v>
      </c>
      <c r="E3" s="35">
        <f>C3</f>
        <v>75000</v>
      </c>
      <c r="F3" s="45">
        <f>IF(D4=0,0,AVERAGEIF(D4:D6,"&lt;&gt;0"))+D3</f>
        <v>136000.62276666667</v>
      </c>
      <c r="G3" s="38">
        <f>IF(E4=0,0,AVERAGEIF(E4:E6,"&lt;&gt;0"))+E3</f>
        <v>75000</v>
      </c>
      <c r="H3" s="57">
        <f>SUM(F3:G3)</f>
        <v>211000.62276666667</v>
      </c>
    </row>
    <row r="4" spans="1:8" x14ac:dyDescent="0.25">
      <c r="A4" s="28">
        <v>2015</v>
      </c>
      <c r="B4" s="35">
        <v>141860</v>
      </c>
      <c r="C4" s="35"/>
      <c r="D4" s="45">
        <f>B4</f>
        <v>141860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151767</v>
      </c>
      <c r="C5" s="35"/>
      <c r="D5" s="45">
        <f>B5*Pristalsregulering!$C$7</f>
        <v>151888.4136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112475</v>
      </c>
      <c r="C6" s="35"/>
      <c r="D6" s="45">
        <f>B6*Pristalsregulering!$C$7*Pristalsregulering!$C$6</f>
        <v>114253.45469999999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22000</v>
      </c>
      <c r="C3" s="42">
        <v>103520</v>
      </c>
      <c r="D3" s="42">
        <v>0</v>
      </c>
      <c r="E3" s="41">
        <f>B3</f>
        <v>22000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127279.79719999999</v>
      </c>
    </row>
    <row r="4" spans="1:8" x14ac:dyDescent="0.25">
      <c r="A4" s="31">
        <v>2014</v>
      </c>
      <c r="B4" s="41">
        <v>21800</v>
      </c>
      <c r="C4" s="42">
        <v>98000</v>
      </c>
      <c r="D4" s="42">
        <v>0</v>
      </c>
      <c r="E4" s="41">
        <f>B4*Pristalsregulering!$C$7</f>
        <v>21817.439999999999</v>
      </c>
      <c r="F4" s="42">
        <f>C4*Pristalsregulering!$C$7</f>
        <v>98078.399999999994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21500</v>
      </c>
      <c r="C5" s="42">
        <v>112800</v>
      </c>
      <c r="D5" s="42">
        <v>0</v>
      </c>
      <c r="E5" s="41">
        <f>B5*Pristalsregulering!$C$7*Pristalsregulering!$C$6</f>
        <v>21839.957999999995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50916381.925556846</v>
      </c>
      <c r="C3" s="38">
        <v>15666989.67333333</v>
      </c>
      <c r="D3" s="40">
        <v>483333.33333333331</v>
      </c>
      <c r="E3" s="35">
        <f>B3*Pristalsregulering!C2*Pristalsregulering!C3*Pristalsregulering!C4*Pristalsregulering!C5*Pristalsregulering!C6*Pristalsregulering!C7</f>
        <v>55432612.30752673</v>
      </c>
      <c r="F3" s="35">
        <v>15819416.572198899</v>
      </c>
      <c r="G3" s="35">
        <f>D3</f>
        <v>483333.33333333331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55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175683</v>
      </c>
      <c r="C3" s="38">
        <v>9432317</v>
      </c>
      <c r="D3" s="38">
        <v>0</v>
      </c>
      <c r="E3" s="40">
        <v>0</v>
      </c>
      <c r="F3" s="38">
        <f>B3</f>
        <v>175683</v>
      </c>
      <c r="G3" s="38">
        <f>C3</f>
        <v>9432317</v>
      </c>
      <c r="H3" s="38">
        <f>D3</f>
        <v>0</v>
      </c>
      <c r="I3" s="40">
        <f>E3</f>
        <v>0</v>
      </c>
      <c r="J3" s="42">
        <f>AVERAGE(F3:F5)</f>
        <v>158304.12237999999</v>
      </c>
      <c r="K3" s="42">
        <f>G3</f>
        <v>9432317</v>
      </c>
      <c r="L3" s="43">
        <f>AVERAGE(H3:H5)+AVERAGE(I3:I5)</f>
        <v>0</v>
      </c>
      <c r="M3" s="44">
        <f>SUM(J3:L3)</f>
        <v>9590621.1223799996</v>
      </c>
      <c r="N3" s="23"/>
    </row>
    <row r="4" spans="1:14" x14ac:dyDescent="0.25">
      <c r="A4" s="28">
        <v>2014</v>
      </c>
      <c r="B4" s="45">
        <v>171359</v>
      </c>
      <c r="C4" s="38">
        <v>6384995</v>
      </c>
      <c r="D4" s="38">
        <v>0</v>
      </c>
      <c r="E4" s="40">
        <v>0</v>
      </c>
      <c r="F4" s="38">
        <f>IF(B4="","",B4*Pristalsregulering!$C$7)</f>
        <v>171496.08719999998</v>
      </c>
      <c r="G4" s="38">
        <f>IF(C4="","",C4*Pristalsregulering!$C$7)</f>
        <v>6390102.9959999993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125745</v>
      </c>
      <c r="C5" s="38">
        <v>3888208</v>
      </c>
      <c r="D5" s="38">
        <v>0</v>
      </c>
      <c r="E5" s="40">
        <v>0</v>
      </c>
      <c r="F5" s="38">
        <f>IF(B5="","",B5*Pristalsregulering!$C$7*Pristalsregulering!$C$6)</f>
        <v>127733.27993999998</v>
      </c>
      <c r="G5" s="38">
        <f>IF(C5="","",C5*Pristalsregulering!$C$7*Pristalsregulering!$C$6)</f>
        <v>3949688.3448959989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56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16262</v>
      </c>
      <c r="C2" s="42">
        <v>0</v>
      </c>
      <c r="D2" s="42">
        <v>38311</v>
      </c>
      <c r="E2" s="42">
        <v>344814</v>
      </c>
      <c r="F2" s="42">
        <v>0</v>
      </c>
      <c r="G2" s="42">
        <v>0</v>
      </c>
      <c r="H2" s="42">
        <v>1223706</v>
      </c>
      <c r="I2" s="42">
        <v>0</v>
      </c>
      <c r="J2" s="42"/>
      <c r="K2" s="42"/>
      <c r="L2" s="43">
        <v>0</v>
      </c>
      <c r="M2" s="44">
        <f>SUM(B2:L2)</f>
        <v>1623093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2016-11-11T16:25:29Z</dcterms:modified>
</cp:coreProperties>
</file>