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5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E6" i="16"/>
  <c r="D5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<sst xmlns="http://schemas.openxmlformats.org/spreadsheetml/2006/main" count="111" uniqueCount="75">
  <si>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</si>
  <si>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</si>
  <si>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</si>
  <si>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</si>
  <si>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</si>
  <si>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</si>
  <si>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</si>
  <si>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</si>
  <si>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</si>
  <si>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</si>
  <si>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</si>
  <si>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</si>
  <si>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</si>
  <si>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</si>
  <si>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</si>
  <si>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</si>
  <si>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</si>
  <si>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</si>
  <si>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</si>
  <si>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</si>
  <si>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</si>
  <si>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</si>
  <si>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ADK (adgangskontrol)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</si>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</sst>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72" fontId="26" fillId="0" borderId="0"/>
    <xf numFmtId="172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7" fontId="20" fillId="0" borderId="16" applyFill="0" applyAlignment="0" applyProtection="0"/>
    <xf numFmtId="168" fontId="20" fillId="0" borderId="16" applyFill="0" applyAlignment="0" applyProtection="0"/>
    <xf numFmtId="169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6" fillId="45" borderId="14" applyNumberFormat="0" applyFont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165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3" fillId="0" borderId="21" xfId="0" applyFont="1" applyBorder="1" applyAlignment="1">
      <alignment horizontal="left"/>
    </xf>
    <xf numFmtId="166" fontId="3" fillId="0" borderId="21" xfId="0" applyNumberFormat="1" applyFont="1" applyFill="1" applyBorder="1" applyAlignment="1">
      <alignment horizontal="left"/>
    </xf>
    <xf numFmtId="166" fontId="3" fillId="0" borderId="19" xfId="0" applyNumberFormat="1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6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30" applyNumberFormat="1" applyFont="1"/>
    <xf numFmtId="166" fontId="0" fillId="0" borderId="0" xfId="27330" applyNumberFormat="1" applyFont="1" applyAlignment="1"/>
    <xf numFmtId="166" fontId="3" fillId="0" borderId="1" xfId="27330" applyNumberFormat="1" applyFont="1" applyBorder="1"/>
    <xf numFmtId="166" fontId="0" fillId="0" borderId="0" xfId="27330" applyNumberFormat="1" applyFont="1" applyBorder="1"/>
    <xf numFmtId="166" fontId="3" fillId="0" borderId="0" xfId="27330" applyNumberFormat="1" applyFont="1"/>
    <xf numFmtId="166" fontId="0" fillId="0" borderId="18" xfId="27330" applyNumberFormat="1" applyFont="1" applyBorder="1"/>
    <xf numFmtId="166" fontId="0" fillId="0" borderId="23" xfId="27330" applyNumberFormat="1" applyFont="1" applyFill="1" applyBorder="1"/>
    <xf numFmtId="166" fontId="0" fillId="0" borderId="0" xfId="27330" applyNumberFormat="1" applyFont="1" applyFill="1" applyBorder="1"/>
    <xf numFmtId="166" fontId="0" fillId="0" borderId="18" xfId="27330" applyNumberFormat="1" applyFont="1" applyFill="1" applyBorder="1"/>
    <xf numFmtId="166" fontId="3" fillId="0" borderId="0" xfId="27330" applyNumberFormat="1" applyFont="1" applyFill="1" applyBorder="1"/>
    <xf numFmtId="166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6" fontId="3" fillId="0" borderId="2" xfId="27330" applyNumberFormat="1" applyFont="1" applyBorder="1"/>
    <xf numFmtId="166" fontId="5" fillId="0" borderId="0" xfId="27330" applyNumberFormat="1" applyFont="1"/>
    <xf numFmtId="166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6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6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6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6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6" fontId="0" fillId="0" borderId="0" xfId="27330" applyNumberFormat="1" applyFont="1" applyBorder="1" applyAlignment="1">
      <alignment wrapText="1"/>
    </xf>
  </cellXfs>
  <cellStyles count="27331"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20% - Accent1" xfId="8832" builtinId="30" customBuiltin="1"/>
    <cellStyle name="20% - Accent2" xfId="8833" builtinId="34" customBuiltin="1"/>
    <cellStyle name="20% - Accent3" xfId="8834" builtinId="38" customBuiltin="1"/>
    <cellStyle name="20% - Accent4" xfId="8835" builtinId="42" customBuiltin="1"/>
    <cellStyle name="20% - Accent5" xfId="8836" builtinId="46" customBuiltin="1"/>
    <cellStyle name="20% - Accent6" xfId="8837" builtinId="50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40% - Accent1" xfId="17652" builtinId="31" customBuiltin="1"/>
    <cellStyle name="40% - Accent2" xfId="17653" builtinId="35" customBuiltin="1"/>
    <cellStyle name="40% - Accent3" xfId="17654" builtinId="39" customBuiltin="1"/>
    <cellStyle name="40% - Accent4" xfId="17655" builtinId="43" customBuiltin="1"/>
    <cellStyle name="40% - Accent5" xfId="17656" builtinId="47" customBuiltin="1"/>
    <cellStyle name="40% - Accent6" xfId="17657" builtinId="51" customBuiltin="1"/>
    <cellStyle name="60 % - Markeringsfarve1 2" xfId="27306"/>
    <cellStyle name="60 % - Markeringsfarve2 2" xfId="27307"/>
    <cellStyle name="60 % - Markeringsfarve3 2" xfId="17658"/>
    <cellStyle name="60 % - Markeringsfarve3 3" xfId="27308"/>
    <cellStyle name="60 % - Markeringsfarve4 2" xfId="17659"/>
    <cellStyle name="60 % - Markeringsfarve4 3" xfId="27309"/>
    <cellStyle name="60 % - Markeringsfarve5 2" xfId="27310"/>
    <cellStyle name="60 % - Markeringsfarve6 2" xfId="17660"/>
    <cellStyle name="60 % - Markeringsfarve6 3" xfId="27311"/>
    <cellStyle name="60% - Accent1" xfId="17661" builtinId="32" customBuiltin="1"/>
    <cellStyle name="60% - Accent2" xfId="17662" builtinId="36" customBuiltin="1"/>
    <cellStyle name="60% - Accent3" xfId="17663" builtinId="40" customBuiltin="1"/>
    <cellStyle name="60% - Accent4" xfId="17664" builtinId="44" customBuiltin="1"/>
    <cellStyle name="60% - Accent5" xfId="17665" builtinId="48" customBuiltin="1"/>
    <cellStyle name="60% - Accent6" xfId="17666" builtinId="52" customBuiltin="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 2" xfId="27312"/>
    <cellStyle name="Calculation" xfId="19630" builtinId="22" customBuiltin="1"/>
    <cellStyle name="Check Cell" xfId="11"/>
    <cellStyle name="Check Cell 2" xfId="27286"/>
    <cellStyle name="Comma" xfId="27330" builtinId="3"/>
    <cellStyle name="Decimal" xfId="19631"/>
    <cellStyle name="Decimal (negative)" xfId="19632"/>
    <cellStyle name="Explanatory Text" xfId="12"/>
    <cellStyle name="Explanatory Text 2" xfId="27287"/>
    <cellStyle name="God 2" xfId="27313"/>
    <cellStyle name="Good" xfId="19633" builtinId="26" customBuiltin="1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Hyperlink" xfId="1" builtinId="8"/>
    <cellStyle name="Input" xfId="8" builtinId="20" customBuiltin="1"/>
    <cellStyle name="Input 2" xfId="19634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" xfId="24848" builtinId="10" customBuiltin="1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 2" xfId="27315"/>
    <cellStyle name="Title" xfId="27270" builtinId="15" customBuiltin="1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  <cellStyle name="Warning Text" xfId="27279" builtinId="11" customBuiltin="1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32" customFormat="1" ht="15.75" thickBot="1" x14ac:dyDescent="0.3">
      <c r="A1" s="26" t="s">
        <v>6</v>
      </c>
      <c r="B1" s="26" t="s">
        <v>7</v>
      </c>
    </row>
    <row r="2" spans="1:3" x14ac:dyDescent="0.25">
      <c r="A2" s="12" t="s">
        <v>5</v>
      </c>
      <c r="B2" s="43">
        <f>'Faktiske driftsomkostninger'!K2</f>
        <v>43988374.079182237</v>
      </c>
      <c r="C2" t="s">
        <v>11</v>
      </c>
    </row>
    <row r="3" spans="1:3" s="10" customFormat="1" x14ac:dyDescent="0.25">
      <c r="A3" s="13" t="s">
        <v>8</v>
      </c>
      <c r="B3" s="44">
        <f>'Miljø- og servicemål'!H3</f>
        <v>44892</v>
      </c>
      <c r="C3" t="s">
        <v>11</v>
      </c>
    </row>
    <row r="4" spans="1:3" s="10" customFormat="1" x14ac:dyDescent="0.25">
      <c r="A4" s="13" t="s">
        <v>9</v>
      </c>
      <c r="B4" s="44">
        <f>'Revisorerklæringer mm.'!H3</f>
        <v>161596.93786666665</v>
      </c>
      <c r="C4" t="s">
        <v>11</v>
      </c>
    </row>
    <row r="5" spans="1:3" s="34" customFormat="1" x14ac:dyDescent="0.25">
      <c r="A5" s="11" t="s">
        <v>12</v>
      </c>
      <c r="B5" s="56">
        <f>SUM(B2:B4)</f>
        <v>44194863.017048903</v>
      </c>
      <c r="C5" s="70" t="s">
        <v>11</v>
      </c>
    </row>
    <row r="6" spans="1:3" x14ac:dyDescent="0.25">
      <c r="A6" s="55" t="s">
        <v>0</v>
      </c>
      <c r="B6" s="46">
        <f>Investeringer!E3</f>
        <v>81464666.016100988</v>
      </c>
      <c r="C6" s="31" t="s">
        <v>11</v>
      </c>
    </row>
    <row r="7" spans="1:3" x14ac:dyDescent="0.25">
      <c r="A7" s="12" t="s">
        <v>1</v>
      </c>
      <c r="B7" s="43">
        <f>Investeringer!F3</f>
        <v>15133654.777376637</v>
      </c>
      <c r="C7" t="s">
        <v>11</v>
      </c>
    </row>
    <row r="8" spans="1:3" x14ac:dyDescent="0.25">
      <c r="A8" s="12" t="s">
        <v>2</v>
      </c>
      <c r="B8" s="43">
        <f>Investeringer!G3</f>
        <v>2772376.2266666666</v>
      </c>
      <c r="C8" t="s">
        <v>11</v>
      </c>
    </row>
    <row r="9" spans="1:3" s="30" customFormat="1" x14ac:dyDescent="0.25">
      <c r="A9" s="12" t="s">
        <v>4</v>
      </c>
      <c r="B9" s="43">
        <f>'Finansielle omkostninger'!M3</f>
        <v>3833336.9369999999</v>
      </c>
      <c r="C9" t="s">
        <v>11</v>
      </c>
    </row>
    <row r="10" spans="1:3" s="30" customFormat="1" x14ac:dyDescent="0.25">
      <c r="A10" s="11" t="s">
        <v>48</v>
      </c>
      <c r="B10" s="56">
        <f>SUM(B6:B9)</f>
        <v>103204033.95714429</v>
      </c>
      <c r="C10" s="70" t="s">
        <v>11</v>
      </c>
    </row>
    <row r="11" spans="1:3" s="30" customFormat="1" x14ac:dyDescent="0.25">
      <c r="A11" s="12" t="s">
        <v>10</v>
      </c>
      <c r="B11" s="43">
        <f>'Ikke-påvirkelige omkostninger'!M2</f>
        <v>3816372.39</v>
      </c>
      <c r="C11" t="s">
        <v>11</v>
      </c>
    </row>
    <row r="12" spans="1:3" s="30" customFormat="1" x14ac:dyDescent="0.25">
      <c r="A12" s="11" t="s">
        <v>69</v>
      </c>
      <c r="B12" s="56">
        <f>SUM(B11:B11)</f>
        <v>3816372.39</v>
      </c>
      <c r="C12" s="70" t="s">
        <v>11</v>
      </c>
    </row>
    <row r="13" spans="1:3" x14ac:dyDescent="0.25">
      <c r="A13" s="9"/>
      <c r="B13" s="43"/>
    </row>
    <row r="14" spans="1:3" ht="15.75" thickBot="1" x14ac:dyDescent="0.3">
      <c r="A14" s="35" t="s">
        <v>58</v>
      </c>
      <c r="B14" s="45">
        <f>SUM(B5,B10,B12)</f>
        <v>151215269.36419317</v>
      </c>
      <c r="C14" s="35" t="s">
        <v>3</v>
      </c>
    </row>
    <row r="15" spans="1:3" ht="15.75" thickTop="1" x14ac:dyDescent="0.25"/>
    <row r="16" spans="1:3" ht="15.75" thickBot="1" x14ac:dyDescent="0.3">
      <c r="A16" s="35" t="s">
        <v>52</v>
      </c>
      <c r="B16" s="45">
        <f>B14*Pristalsregulering!C8*Pristalsregulering!C9</f>
        <v>152553787.61263496</v>
      </c>
      <c r="C16" s="35" t="s">
        <v>3</v>
      </c>
    </row>
    <row r="17" spans="2:2" ht="15.75" hidden="1" thickTop="1" x14ac:dyDescent="0.25">
      <c r="B17" s="69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30" bestFit="1" customWidth="1"/>
    <col min="2" max="3" width="15.7109375" style="43" customWidth="1"/>
    <col min="4" max="4" width="22.7109375" style="43" customWidth="1"/>
    <col min="5" max="9" width="15.7109375" style="43" customWidth="1"/>
    <col min="10" max="10" width="29.85546875" style="43" customWidth="1"/>
    <col min="11" max="11" width="44.140625" style="43" customWidth="1"/>
    <col min="12" max="12" width="0" hidden="1" customWidth="1"/>
    <col min="13" max="16384" width="9.140625" hidden="1"/>
  </cols>
  <sheetData>
    <row r="1" spans="1:11" s="68" customFormat="1" ht="60.75" thickBot="1" x14ac:dyDescent="0.3">
      <c r="A1" s="66" t="s">
        <v>13</v>
      </c>
      <c r="B1" s="67" t="s">
        <v>14</v>
      </c>
      <c r="C1" s="67" t="s">
        <v>59</v>
      </c>
      <c r="D1" s="67" t="s">
        <v>60</v>
      </c>
      <c r="E1" s="67" t="s">
        <v>53</v>
      </c>
      <c r="F1" s="60" t="s">
        <v>61</v>
      </c>
      <c r="G1" s="60" t="s">
        <v>70</v>
      </c>
      <c r="H1" s="60" t="s">
        <v>62</v>
      </c>
      <c r="I1" s="60" t="s">
        <v>49</v>
      </c>
      <c r="J1" s="19" t="s">
        <v>63</v>
      </c>
      <c r="K1" s="19" t="s">
        <v>64</v>
      </c>
    </row>
    <row r="2" spans="1:11" s="31" customFormat="1" ht="15.75" thickTop="1" x14ac:dyDescent="0.25">
      <c r="A2" s="36">
        <v>2015</v>
      </c>
      <c r="B2" s="57">
        <v>45808159.240000002</v>
      </c>
      <c r="C2" s="57">
        <v>3669.6</v>
      </c>
      <c r="D2" s="57">
        <f>B2+C2</f>
        <v>45811828.840000004</v>
      </c>
      <c r="E2" s="58">
        <f>D2</f>
        <v>45811828.840000004</v>
      </c>
      <c r="F2" s="57">
        <v>43988374.079182237</v>
      </c>
      <c r="G2" s="57">
        <v>0</v>
      </c>
      <c r="H2" s="57">
        <f>F2-G2</f>
        <v>43988374.079182237</v>
      </c>
      <c r="I2" s="57">
        <f>AVERAGEIF(E2:E4,"&lt;&gt;0")</f>
        <v>44915922.033769332</v>
      </c>
      <c r="J2" s="57">
        <v>31497133.820902944</v>
      </c>
      <c r="K2" s="47">
        <f>IF(H2&gt;I2,IF(I2&gt;J2,I2,J2),H2)</f>
        <v>43988374.079182237</v>
      </c>
    </row>
    <row r="3" spans="1:11" s="31" customFormat="1" x14ac:dyDescent="0.25">
      <c r="A3" s="36">
        <v>2014</v>
      </c>
      <c r="B3" s="57">
        <v>40824750.240000002</v>
      </c>
      <c r="C3" s="57"/>
      <c r="D3" s="57">
        <f t="shared" ref="D3:D4" si="0">B3+C3</f>
        <v>40824750.240000002</v>
      </c>
      <c r="E3" s="58">
        <f>D3*Pristalsregulering!C7</f>
        <v>40857410.040192001</v>
      </c>
      <c r="F3" s="57"/>
      <c r="G3" s="57"/>
      <c r="H3" s="57">
        <f t="shared" ref="H3:H4" si="1">F3-G3</f>
        <v>0</v>
      </c>
      <c r="I3" s="57"/>
      <c r="J3" s="57"/>
      <c r="K3" s="43"/>
    </row>
    <row r="4" spans="1:11" x14ac:dyDescent="0.25">
      <c r="A4" s="36">
        <v>2013</v>
      </c>
      <c r="B4" s="57">
        <v>47330143</v>
      </c>
      <c r="C4" s="57"/>
      <c r="D4" s="57">
        <f t="shared" si="0"/>
        <v>47330143</v>
      </c>
      <c r="E4" s="58">
        <f>D4*Pristalsregulering!$C$6*Pristalsregulering!$C$7</f>
        <v>48078527.221115991</v>
      </c>
      <c r="F4" s="57"/>
      <c r="G4" s="57"/>
      <c r="H4" s="57">
        <f t="shared" si="1"/>
        <v>0</v>
      </c>
      <c r="I4" s="57"/>
      <c r="J4" s="57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63" customWidth="1"/>
    <col min="5" max="5" width="30.7109375" customWidth="1"/>
    <col min="6" max="6" width="30.7109375" style="63" customWidth="1"/>
    <col min="7" max="7" width="30.7109375" customWidth="1"/>
    <col min="8" max="8" width="30.7109375" style="63" customWidth="1"/>
    <col min="9" max="9" width="9.140625" hidden="1" customWidth="1"/>
    <col min="10" max="97" width="0" hidden="1" customWidth="1"/>
    <col min="98" max="98" width="9.140625" hidden="1" customWidth="1"/>
    <col min="99" max="107" width="0" hidden="1" customWidth="1"/>
    <col min="108" max="108" width="9.140625" hidden="1" customWidth="1"/>
    <col min="109" max="109" width="0" hidden="1" customWidth="1"/>
    <col min="110" max="110" width="9.140625" hidden="1" customWidth="1"/>
    <col min="111" max="198" width="0" hidden="1" customWidth="1"/>
    <col min="199" max="199" width="9.140625" hidden="1" customWidth="1"/>
    <col min="200" max="208" width="0" hidden="1" customWidth="1"/>
    <col min="209" max="209" width="9.140625" hidden="1" customWidth="1"/>
    <col min="210" max="218" width="0" hidden="1" customWidth="1"/>
    <col min="219" max="219" width="9.140625" hidden="1" customWidth="1"/>
    <col min="220" max="299" width="0" hidden="1" customWidth="1"/>
    <col min="300" max="300" width="9.140625" hidden="1" customWidth="1"/>
    <col min="301" max="309" width="0" hidden="1" customWidth="1"/>
    <col min="310" max="310" width="9.140625" hidden="1" customWidth="1"/>
    <col min="311" max="319" width="0" hidden="1" customWidth="1"/>
    <col min="320" max="320" width="9.140625" hidden="1" customWidth="1"/>
    <col min="321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41" width="0" hidden="1" customWidth="1"/>
    <col min="342" max="16384" width="9.140625" hidden="1"/>
  </cols>
  <sheetData>
    <row r="1" spans="1:8" s="35" customFormat="1" ht="15.75" thickBot="1" x14ac:dyDescent="0.3">
      <c r="A1" s="17"/>
      <c r="B1" s="41" t="s">
        <v>72</v>
      </c>
      <c r="C1" s="41"/>
      <c r="D1" s="71" t="s">
        <v>73</v>
      </c>
      <c r="E1" s="18"/>
      <c r="F1" s="71" t="s">
        <v>74</v>
      </c>
      <c r="G1" s="18"/>
      <c r="H1" s="71"/>
    </row>
    <row r="2" spans="1:8" ht="15.75" thickTop="1" x14ac:dyDescent="0.25">
      <c r="A2" s="25" t="s">
        <v>13</v>
      </c>
      <c r="B2" s="42" t="s">
        <v>22</v>
      </c>
      <c r="C2" s="42" t="s">
        <v>23</v>
      </c>
      <c r="D2" s="64" t="s">
        <v>22</v>
      </c>
      <c r="E2" s="42" t="s">
        <v>23</v>
      </c>
      <c r="F2" s="64" t="s">
        <v>22</v>
      </c>
      <c r="G2" s="42" t="s">
        <v>23</v>
      </c>
      <c r="H2" s="61" t="s">
        <v>24</v>
      </c>
    </row>
    <row r="3" spans="1:8" s="30" customFormat="1" x14ac:dyDescent="0.25">
      <c r="A3" s="36">
        <v>2016</v>
      </c>
      <c r="B3" s="80">
        <v>34892</v>
      </c>
      <c r="C3" s="80">
        <v>10000</v>
      </c>
      <c r="D3" s="53">
        <f>B3</f>
        <v>34892</v>
      </c>
      <c r="E3" s="43">
        <f>C3</f>
        <v>10000</v>
      </c>
      <c r="F3" s="53">
        <f>IF(D4=0,0,AVERAGEIF(D4:D6,"&lt;&gt;0"))+D3</f>
        <v>34892</v>
      </c>
      <c r="G3" s="46">
        <f>IF(E4=0,0,AVERAGEIF(E4:E6,"&lt;&gt;0"))+E3</f>
        <v>10000</v>
      </c>
      <c r="H3" s="65">
        <f>SUM(F3:G3)</f>
        <v>44892</v>
      </c>
    </row>
    <row r="4" spans="1:8" x14ac:dyDescent="0.25">
      <c r="A4" s="36">
        <v>2015</v>
      </c>
      <c r="B4" s="43"/>
      <c r="C4" s="43"/>
      <c r="D4" s="53">
        <f>B4</f>
        <v>0</v>
      </c>
      <c r="E4" s="43">
        <f>C4</f>
        <v>0</v>
      </c>
      <c r="F4" s="53"/>
      <c r="G4" s="46"/>
      <c r="H4" s="62"/>
    </row>
    <row r="5" spans="1:8" x14ac:dyDescent="0.25">
      <c r="A5" s="36">
        <v>2014</v>
      </c>
      <c r="B5" s="43"/>
      <c r="C5" s="43"/>
      <c r="D5" s="53">
        <f>B5*Pristalsregulering!$C$7</f>
        <v>0</v>
      </c>
      <c r="E5" s="43">
        <f>C5*Pristalsregulering!$C$7</f>
        <v>0</v>
      </c>
      <c r="F5" s="53"/>
      <c r="G5" s="43"/>
      <c r="H5" s="53"/>
    </row>
    <row r="6" spans="1:8" x14ac:dyDescent="0.25">
      <c r="A6" s="36">
        <v>2013</v>
      </c>
      <c r="B6" s="43"/>
      <c r="C6" s="43"/>
      <c r="D6" s="53">
        <f>B6*Pristalsregulering!$C$7*Pristalsregulering!$C$6</f>
        <v>0</v>
      </c>
      <c r="E6" s="43">
        <f>C6*Pristalsregulering!$C$7*Pristalsregulering!$C$6</f>
        <v>0</v>
      </c>
      <c r="F6" s="53"/>
      <c r="G6" s="43"/>
      <c r="H6" s="53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33" bestFit="1" customWidth="1"/>
    <col min="2" max="2" width="16.140625" style="33" bestFit="1" customWidth="1"/>
    <col min="3" max="3" width="24.28515625" style="33" bestFit="1" customWidth="1"/>
    <col min="4" max="4" width="15.7109375" style="33" customWidth="1"/>
    <col min="5" max="5" width="16.140625" style="33" bestFit="1" customWidth="1"/>
    <col min="6" max="6" width="24.28515625" style="33" bestFit="1" customWidth="1"/>
    <col min="7" max="8" width="15.7109375" style="33" customWidth="1"/>
    <col min="9" max="9" width="9.140625" style="33" hidden="1" customWidth="1"/>
    <col min="10" max="16384" width="9.140625" style="33" hidden="1"/>
  </cols>
  <sheetData>
    <row r="1" spans="1:8" ht="15.75" thickBot="1" x14ac:dyDescent="0.3">
      <c r="A1" s="38"/>
      <c r="B1" s="2" t="s">
        <v>25</v>
      </c>
      <c r="C1" s="3"/>
      <c r="D1" s="3"/>
      <c r="E1" s="1" t="s">
        <v>54</v>
      </c>
      <c r="F1" s="8"/>
      <c r="G1" s="7"/>
      <c r="H1" s="37"/>
    </row>
    <row r="2" spans="1:8" s="29" customFormat="1" ht="15.75" thickTop="1" x14ac:dyDescent="0.25">
      <c r="A2" s="27" t="s">
        <v>13</v>
      </c>
      <c r="B2" s="24" t="s">
        <v>26</v>
      </c>
      <c r="C2" s="28" t="s">
        <v>27</v>
      </c>
      <c r="D2" s="28" t="s">
        <v>28</v>
      </c>
      <c r="E2" s="24" t="s">
        <v>26</v>
      </c>
      <c r="F2" s="28" t="s">
        <v>27</v>
      </c>
      <c r="G2" s="54" t="s">
        <v>28</v>
      </c>
      <c r="H2" s="14" t="s">
        <v>30</v>
      </c>
    </row>
    <row r="3" spans="1:8" x14ac:dyDescent="0.25">
      <c r="A3" s="39">
        <v>2015</v>
      </c>
      <c r="B3" s="49">
        <v>24500</v>
      </c>
      <c r="C3" s="50">
        <v>155280</v>
      </c>
      <c r="D3" s="50">
        <v>0</v>
      </c>
      <c r="E3" s="49">
        <f>B3</f>
        <v>24500</v>
      </c>
      <c r="F3" s="50">
        <f t="shared" ref="F3:G3" si="0">C3</f>
        <v>155280</v>
      </c>
      <c r="G3" s="51">
        <f t="shared" si="0"/>
        <v>0</v>
      </c>
      <c r="H3" s="52">
        <f>IF(E3=0,0,AVERAGEIF(E3:E5,"&lt;&gt;0"))+IF(F3=0,0,AVERAGEIF(F3:F5,"&lt;&gt;0"))+IF(G3=0,0,AVERAGEIF(G3:G5,"&lt;&gt;0"))</f>
        <v>161596.93786666665</v>
      </c>
    </row>
    <row r="4" spans="1:8" x14ac:dyDescent="0.25">
      <c r="A4" s="39">
        <v>2014</v>
      </c>
      <c r="B4" s="49">
        <v>27000</v>
      </c>
      <c r="C4" s="50">
        <v>117600</v>
      </c>
      <c r="D4" s="50">
        <v>0</v>
      </c>
      <c r="E4" s="49">
        <f>B4*Pristalsregulering!$C$7</f>
        <v>27021.599999999999</v>
      </c>
      <c r="F4" s="50">
        <f>C4*Pristalsregulering!$C$7</f>
        <v>117694.07999999999</v>
      </c>
      <c r="G4" s="51">
        <f>D4*Pristalsregulering!$C$7</f>
        <v>0</v>
      </c>
      <c r="H4" s="50"/>
    </row>
    <row r="5" spans="1:8" x14ac:dyDescent="0.25">
      <c r="A5" s="39">
        <v>2013</v>
      </c>
      <c r="B5" s="49">
        <v>45000</v>
      </c>
      <c r="C5" s="50">
        <v>112800</v>
      </c>
      <c r="D5" s="50">
        <v>0</v>
      </c>
      <c r="E5" s="49">
        <f>B5*Pristalsregulering!$C$7*Pristalsregulering!$C$6</f>
        <v>45711.539999999986</v>
      </c>
      <c r="F5" s="50">
        <f>C5*Pristalsregulering!$C$7*Pristalsregulering!$C$6</f>
        <v>114583.59359999998</v>
      </c>
      <c r="G5" s="51">
        <f>D5*Pristalsregulering!$C$7*Pristalsregulering!$C$6</f>
        <v>0</v>
      </c>
      <c r="H5" s="50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30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30" customFormat="1" ht="15.75" thickBot="1" x14ac:dyDescent="0.3">
      <c r="A1" s="79"/>
      <c r="B1" s="8" t="s">
        <v>67</v>
      </c>
      <c r="C1" s="8"/>
      <c r="D1" s="7"/>
      <c r="E1" s="6" t="s">
        <v>68</v>
      </c>
      <c r="F1" s="6"/>
      <c r="G1" s="6"/>
    </row>
    <row r="2" spans="1:7" s="30" customFormat="1" ht="15.75" thickTop="1" x14ac:dyDescent="0.25">
      <c r="A2" s="77" t="s">
        <v>13</v>
      </c>
      <c r="B2" s="31" t="s">
        <v>65</v>
      </c>
      <c r="C2" s="31" t="s">
        <v>1</v>
      </c>
      <c r="D2" s="36" t="s">
        <v>66</v>
      </c>
      <c r="E2" s="30" t="s">
        <v>0</v>
      </c>
      <c r="F2" s="30" t="s">
        <v>1</v>
      </c>
      <c r="G2" s="30" t="s">
        <v>2</v>
      </c>
    </row>
    <row r="3" spans="1:7" s="30" customFormat="1" x14ac:dyDescent="0.25">
      <c r="A3" s="78">
        <v>2015</v>
      </c>
      <c r="B3" s="46">
        <v>74827540.605560139</v>
      </c>
      <c r="C3" s="46">
        <v>14825800.341399997</v>
      </c>
      <c r="D3" s="48">
        <v>2772376.2266666666</v>
      </c>
      <c r="E3" s="43">
        <f>B3*Pristalsregulering!C2*Pristalsregulering!C3*Pristalsregulering!C4*Pristalsregulering!C5*Pristalsregulering!C6*Pristalsregulering!C7</f>
        <v>81464666.016100988</v>
      </c>
      <c r="F3" s="43">
        <v>15133654.777376637</v>
      </c>
      <c r="G3" s="43">
        <f>D3</f>
        <v>2772376.2266666666</v>
      </c>
    </row>
    <row r="4" spans="1:7" s="30" customFormat="1" hidden="1" x14ac:dyDescent="0.25">
      <c r="A4" s="31"/>
      <c r="B4" s="31"/>
      <c r="C4" s="31"/>
      <c r="D4" s="31"/>
    </row>
    <row r="5" spans="1:7" s="34" customFormat="1" hidden="1" x14ac:dyDescent="0.25">
      <c r="A5" s="14"/>
      <c r="B5" s="14"/>
      <c r="C5" s="14"/>
      <c r="D5" s="40"/>
    </row>
    <row r="6" spans="1:7" hidden="1" x14ac:dyDescent="0.25">
      <c r="A6" s="33"/>
      <c r="B6" s="76"/>
      <c r="C6" s="50"/>
      <c r="D6" s="31"/>
    </row>
    <row r="7" spans="1:7" hidden="1" x14ac:dyDescent="0.25">
      <c r="A7" s="33"/>
      <c r="B7" s="33"/>
      <c r="C7" s="33"/>
      <c r="D7" s="31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tabSelected="1" workbookViewId="0">
      <selection activeCell="K3" sqref="K3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6" customWidth="1"/>
    <col min="6" max="7" width="15.7109375" customWidth="1"/>
    <col min="8" max="8" width="18.140625" bestFit="1" customWidth="1"/>
    <col min="9" max="9" width="15.7109375" style="36" customWidth="1"/>
    <col min="10" max="11" width="15.7109375" customWidth="1"/>
    <col min="12" max="12" width="15.7109375" style="36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8"/>
      <c r="B1" s="2" t="s">
        <v>41</v>
      </c>
      <c r="C1" s="3"/>
      <c r="D1" s="3"/>
      <c r="E1" s="3"/>
      <c r="F1" s="1" t="s">
        <v>55</v>
      </c>
      <c r="G1" s="8"/>
      <c r="H1" s="8"/>
      <c r="I1" s="8"/>
      <c r="J1" s="5" t="s">
        <v>30</v>
      </c>
      <c r="K1" s="6"/>
      <c r="L1" s="4"/>
      <c r="M1" s="21"/>
    </row>
    <row r="2" spans="1:14" s="34" customFormat="1" ht="15.75" thickTop="1" x14ac:dyDescent="0.25">
      <c r="A2" s="27" t="s">
        <v>13</v>
      </c>
      <c r="B2" s="16" t="s">
        <v>42</v>
      </c>
      <c r="C2" s="15" t="s">
        <v>43</v>
      </c>
      <c r="D2" s="15" t="s">
        <v>44</v>
      </c>
      <c r="E2" s="59" t="s">
        <v>45</v>
      </c>
      <c r="F2" s="15" t="s">
        <v>42</v>
      </c>
      <c r="G2" s="15" t="s">
        <v>43</v>
      </c>
      <c r="H2" s="15" t="s">
        <v>44</v>
      </c>
      <c r="I2" s="59" t="s">
        <v>45</v>
      </c>
      <c r="J2" s="28" t="s">
        <v>46</v>
      </c>
      <c r="K2" s="28" t="s">
        <v>43</v>
      </c>
      <c r="L2" s="23" t="s">
        <v>71</v>
      </c>
      <c r="M2" s="14" t="s">
        <v>29</v>
      </c>
      <c r="N2" s="40"/>
    </row>
    <row r="3" spans="1:14" x14ac:dyDescent="0.25">
      <c r="A3" s="36">
        <v>2015</v>
      </c>
      <c r="B3" s="53">
        <v>0</v>
      </c>
      <c r="C3" s="46">
        <v>3831051.36</v>
      </c>
      <c r="D3" s="46">
        <v>0</v>
      </c>
      <c r="E3" s="48">
        <v>0</v>
      </c>
      <c r="F3" s="46">
        <f>B3</f>
        <v>0</v>
      </c>
      <c r="G3" s="46">
        <f>C3</f>
        <v>3831051.36</v>
      </c>
      <c r="H3" s="46">
        <f>D3</f>
        <v>0</v>
      </c>
      <c r="I3" s="48">
        <f>E3</f>
        <v>0</v>
      </c>
      <c r="J3" s="50">
        <f>AVERAGE(F3:F5)</f>
        <v>2285.5769999999998</v>
      </c>
      <c r="K3" s="50">
        <f>G3</f>
        <v>3831051.36</v>
      </c>
      <c r="L3" s="51">
        <f>AVERAGE(H3:H5)+AVERAGE(I3:I5)</f>
        <v>0</v>
      </c>
      <c r="M3" s="52">
        <f>SUM(J3:L3)</f>
        <v>3833336.9369999999</v>
      </c>
      <c r="N3" s="31"/>
    </row>
    <row r="4" spans="1:14" x14ac:dyDescent="0.25">
      <c r="A4" s="36">
        <v>2014</v>
      </c>
      <c r="B4" s="53">
        <v>0</v>
      </c>
      <c r="C4" s="46">
        <v>4094812</v>
      </c>
      <c r="D4" s="46">
        <v>0</v>
      </c>
      <c r="E4" s="48">
        <v>0</v>
      </c>
      <c r="F4" s="46">
        <f>IF(B4="","",B4*Pristalsregulering!$C$7)</f>
        <v>0</v>
      </c>
      <c r="G4" s="46">
        <f>IF(C4="","",C4*Pristalsregulering!$C$7)</f>
        <v>4098087.8495999998</v>
      </c>
      <c r="H4" s="46">
        <f>IF(D4="","",D4*Pristalsregulering!$C$7)</f>
        <v>0</v>
      </c>
      <c r="I4" s="48">
        <f>IF(E4="","",E4*Pristalsregulering!$C$7)</f>
        <v>0</v>
      </c>
      <c r="J4" s="46"/>
      <c r="L4" s="48"/>
      <c r="M4" s="43"/>
    </row>
    <row r="5" spans="1:14" x14ac:dyDescent="0.25">
      <c r="A5" s="36">
        <v>2013</v>
      </c>
      <c r="B5" s="53">
        <v>6750</v>
      </c>
      <c r="C5" s="46">
        <v>4600569</v>
      </c>
      <c r="D5" s="46">
        <v>0</v>
      </c>
      <c r="E5" s="48">
        <v>0</v>
      </c>
      <c r="F5" s="46">
        <f>IF(B5="","",B5*Pristalsregulering!$C$7*Pristalsregulering!$C$6)</f>
        <v>6856.7309999999989</v>
      </c>
      <c r="G5" s="46">
        <f>IF(C5="","",C5*Pristalsregulering!$C$7*Pristalsregulering!$C$6)</f>
        <v>4673313.197027999</v>
      </c>
      <c r="H5" s="46">
        <f>IF(D5="","",D5*Pristalsregulering!$C$7*Pristalsregulering!$C$6)</f>
        <v>0</v>
      </c>
      <c r="I5" s="48">
        <f>IF(E5="","",E5*Pristalsregulering!$C$7*Pristalsregulering!$C$6)</f>
        <v>0</v>
      </c>
      <c r="J5" s="43"/>
      <c r="L5" s="48"/>
      <c r="M5" s="43"/>
    </row>
  </sheetData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33" bestFit="1" customWidth="1"/>
    <col min="2" max="2" width="34.28515625" style="33" bestFit="1" customWidth="1"/>
    <col min="3" max="3" width="24" style="33" bestFit="1" customWidth="1"/>
    <col min="4" max="4" width="16.42578125" style="33" bestFit="1" customWidth="1"/>
    <col min="5" max="5" width="23.7109375" style="33" bestFit="1" customWidth="1"/>
    <col min="6" max="6" width="15.7109375" style="33" customWidth="1"/>
    <col min="7" max="7" width="25" style="33" bestFit="1" customWidth="1"/>
    <col min="8" max="8" width="16.5703125" style="33" bestFit="1" customWidth="1"/>
    <col min="9" max="9" width="51.7109375" style="33" bestFit="1" customWidth="1"/>
    <col min="10" max="10" width="44.5703125" style="33" bestFit="1" customWidth="1"/>
    <col min="11" max="11" width="44.5703125" style="33" customWidth="1"/>
    <col min="12" max="12" width="16.85546875" style="39" bestFit="1" customWidth="1"/>
    <col min="13" max="13" width="15.7109375" style="33" customWidth="1"/>
    <col min="14" max="17" width="0" style="33" hidden="1" customWidth="1"/>
    <col min="18" max="16384" width="9.140625" style="33" hidden="1"/>
  </cols>
  <sheetData>
    <row r="1" spans="1:13" s="29" customFormat="1" ht="15.75" thickBot="1" x14ac:dyDescent="0.3">
      <c r="A1" s="20" t="s">
        <v>13</v>
      </c>
      <c r="B1" s="74" t="s">
        <v>31</v>
      </c>
      <c r="C1" s="74" t="s">
        <v>32</v>
      </c>
      <c r="D1" s="74" t="s">
        <v>33</v>
      </c>
      <c r="E1" s="74" t="s">
        <v>34</v>
      </c>
      <c r="F1" s="74" t="s">
        <v>35</v>
      </c>
      <c r="G1" s="74" t="s">
        <v>36</v>
      </c>
      <c r="H1" s="74" t="s">
        <v>37</v>
      </c>
      <c r="I1" s="74" t="s">
        <v>38</v>
      </c>
      <c r="J1" s="74" t="s">
        <v>39</v>
      </c>
      <c r="K1" s="74" t="s">
        <v>56</v>
      </c>
      <c r="L1" s="75" t="s">
        <v>40</v>
      </c>
      <c r="M1" s="22" t="s">
        <v>29</v>
      </c>
    </row>
    <row r="2" spans="1:13" ht="15.75" thickTop="1" x14ac:dyDescent="0.25">
      <c r="A2" s="39">
        <v>2015</v>
      </c>
      <c r="B2" s="50">
        <v>32522.74</v>
      </c>
      <c r="C2" s="50">
        <v>0</v>
      </c>
      <c r="D2" s="50">
        <v>676433</v>
      </c>
      <c r="E2" s="50">
        <v>308899.26</v>
      </c>
      <c r="F2" s="50">
        <v>0</v>
      </c>
      <c r="G2" s="50">
        <v>0</v>
      </c>
      <c r="H2" s="50">
        <v>2798517.39</v>
      </c>
      <c r="I2" s="50">
        <v>0</v>
      </c>
      <c r="J2" s="50"/>
      <c r="K2" s="50"/>
      <c r="L2" s="51">
        <v>0</v>
      </c>
      <c r="M2" s="52">
        <f>SUM(B2:L2)</f>
        <v>3816372.39</v>
      </c>
    </row>
    <row r="3" spans="1:13" hidden="1" x14ac:dyDescent="0.25">
      <c r="B3" s="33">
        <v>32490</v>
      </c>
      <c r="C3" s="33">
        <v>0</v>
      </c>
      <c r="D3" s="33">
        <v>0</v>
      </c>
      <c r="E3" s="33">
        <v>0</v>
      </c>
      <c r="F3" s="33">
        <v>210959</v>
      </c>
      <c r="G3" s="33">
        <v>1661218</v>
      </c>
      <c r="H3" s="33" t="s">
        <v>47</v>
      </c>
    </row>
    <row r="4" spans="1:13" hidden="1" x14ac:dyDescent="0.25">
      <c r="B4" s="33">
        <v>32328</v>
      </c>
      <c r="C4" s="33">
        <v>0</v>
      </c>
      <c r="D4" s="33">
        <v>0</v>
      </c>
      <c r="E4" s="33">
        <v>0</v>
      </c>
      <c r="F4" s="33">
        <v>0</v>
      </c>
      <c r="G4" s="33">
        <v>1602946</v>
      </c>
      <c r="H4" s="33" t="s">
        <v>47</v>
      </c>
    </row>
    <row r="5" spans="1:13" hidden="1" x14ac:dyDescent="0.25">
      <c r="B5" s="33" t="e">
        <v>#N/A</v>
      </c>
      <c r="C5" s="33" t="e">
        <v>#N/A</v>
      </c>
      <c r="D5" s="33" t="e">
        <v>#N/A</v>
      </c>
      <c r="E5" s="33" t="e">
        <v>#N/A</v>
      </c>
      <c r="F5" s="33" t="e">
        <v>#N/A</v>
      </c>
      <c r="G5" s="33" t="e">
        <v>#N/A</v>
      </c>
      <c r="H5" s="33" t="e">
        <v>#N/A</v>
      </c>
      <c r="I5" s="33" t="e">
        <v>#N/A</v>
      </c>
      <c r="J5" s="33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30" bestFit="1" customWidth="1"/>
    <col min="2" max="2" width="12.42578125" style="30" bestFit="1" customWidth="1"/>
    <col min="3" max="3" width="15.42578125" style="30" bestFit="1" customWidth="1"/>
    <col min="4" max="4" width="0" style="30" hidden="1" customWidth="1"/>
    <col min="5" max="16384" width="9.140625" style="30" hidden="1"/>
  </cols>
  <sheetData>
    <row r="1" spans="1:4" ht="15.75" thickBot="1" x14ac:dyDescent="0.3">
      <c r="A1" s="17" t="s">
        <v>13</v>
      </c>
      <c r="B1" s="18" t="s">
        <v>15</v>
      </c>
      <c r="C1" s="18" t="s">
        <v>16</v>
      </c>
      <c r="D1" s="31"/>
    </row>
    <row r="2" spans="1:4" ht="15.75" thickTop="1" x14ac:dyDescent="0.25">
      <c r="A2" s="72" t="s">
        <v>57</v>
      </c>
      <c r="B2" s="73">
        <v>1.11E-2</v>
      </c>
      <c r="C2" s="31">
        <f t="shared" ref="C2" si="0">1+B2</f>
        <v>1.0111000000000001</v>
      </c>
      <c r="D2" s="31"/>
    </row>
    <row r="3" spans="1:4" x14ac:dyDescent="0.25">
      <c r="A3" s="36" t="s">
        <v>17</v>
      </c>
      <c r="B3" s="31">
        <v>5.0000000000000001E-3</v>
      </c>
      <c r="C3" s="31">
        <f t="shared" ref="C3:C6" si="1">1+B3</f>
        <v>1.0049999999999999</v>
      </c>
      <c r="D3" s="31"/>
    </row>
    <row r="4" spans="1:4" x14ac:dyDescent="0.25">
      <c r="A4" s="36" t="s">
        <v>18</v>
      </c>
      <c r="B4" s="31">
        <v>2.3E-2</v>
      </c>
      <c r="C4" s="31">
        <f t="shared" si="1"/>
        <v>1.0229999999999999</v>
      </c>
      <c r="D4" s="31"/>
    </row>
    <row r="5" spans="1:4" x14ac:dyDescent="0.25">
      <c r="A5" s="36" t="s">
        <v>19</v>
      </c>
      <c r="B5" s="31">
        <v>3.1E-2</v>
      </c>
      <c r="C5" s="31">
        <f t="shared" si="1"/>
        <v>1.0309999999999999</v>
      </c>
      <c r="D5" s="31"/>
    </row>
    <row r="6" spans="1:4" x14ac:dyDescent="0.25">
      <c r="A6" s="36" t="s">
        <v>20</v>
      </c>
      <c r="B6" s="31">
        <v>1.4999999999999999E-2</v>
      </c>
      <c r="C6" s="31">
        <f t="shared" si="1"/>
        <v>1.0149999999999999</v>
      </c>
      <c r="D6" s="31"/>
    </row>
    <row r="7" spans="1:4" x14ac:dyDescent="0.25">
      <c r="A7" s="36" t="s">
        <v>21</v>
      </c>
      <c r="B7" s="31">
        <v>8.0000000000000004E-4</v>
      </c>
      <c r="C7" s="31">
        <f>1+B7</f>
        <v>1.0007999999999999</v>
      </c>
      <c r="D7" s="31"/>
    </row>
    <row r="8" spans="1:4" x14ac:dyDescent="0.25">
      <c r="A8" s="36" t="s">
        <v>50</v>
      </c>
      <c r="B8" s="33">
        <v>-3.8E-3</v>
      </c>
      <c r="C8" s="31">
        <f t="shared" ref="C8:C9" si="2">1+B8</f>
        <v>0.99619999999999997</v>
      </c>
      <c r="D8" s="31"/>
    </row>
    <row r="9" spans="1:4" x14ac:dyDescent="0.25">
      <c r="A9" s="36" t="s">
        <v>51</v>
      </c>
      <c r="B9" s="33">
        <v>1.2699999999999999E-2</v>
      </c>
      <c r="C9" s="31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Rasmus Baltser (KFST)</cp:lastModifiedBy>
  <dcterms:created xsi:type="dcterms:W3CDTF">2016-02-18T09:14:14Z</dcterms:created>
  <dcterms:modified xsi:type="dcterms:W3CDTF">2016-12-12T12:46:25Z</dcterms:modified>
</cp:coreProperties>
</file>