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I4" i="16" l="1"/>
  <c r="F3" i="16"/>
  <c r="G3" i="16"/>
  <c r="H3" i="16"/>
  <c r="I3" i="16"/>
  <c r="F3" i="17" l="1"/>
  <c r="G3" i="17"/>
  <c r="F4" i="16" l="1"/>
  <c r="G4" i="16"/>
  <c r="H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I6" i="16"/>
  <c r="I5" i="16"/>
  <c r="M3" i="16" s="1"/>
  <c r="G5" i="17"/>
  <c r="F4" i="17"/>
  <c r="E5" i="17"/>
  <c r="G4" i="17"/>
  <c r="E4" i="17"/>
  <c r="F5" i="17"/>
  <c r="G6" i="16"/>
  <c r="J3" i="24"/>
  <c r="H5" i="16"/>
  <c r="F5" i="16"/>
  <c r="J3" i="16" s="1"/>
  <c r="H6" i="16"/>
  <c r="F6" i="16"/>
  <c r="G5" i="16"/>
  <c r="K3" i="16" l="1"/>
  <c r="L3" i="16"/>
  <c r="M3" i="24"/>
  <c r="B9" i="12" s="1"/>
  <c r="B10" i="12" s="1"/>
  <c r="H3" i="17"/>
  <c r="B4" i="12" s="1"/>
  <c r="I2" i="15"/>
  <c r="K2" i="15" s="1"/>
  <c r="B2" i="12" s="1"/>
  <c r="N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<sst xmlns="http://schemas.openxmlformats.org/spreadsheetml/2006/main" count="125" uniqueCount="84">
  <si>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</si>
  <si>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</si>
  <si>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</si>
  <si>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</si>
  <si>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</si>
  <si>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</si>
  <si>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</si>
  <si>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</si>
  <si>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</si>
  <si>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</si>
  <si>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</si>
  <si>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</si>
  <si>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</si>
  <si>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</si>
  <si>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</si>
  <si>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</si>
  <si>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</si>
  <si>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</si>
  <si>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</si>
  <si>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</si>
  <si>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</si>
  <si>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</si>
  <si>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Dokumenteret spildevandssikkerhed (DSS) </t>
  </si>
  <si>
    <t xml:space="preserve">Rottefælder/bekæmpelse </t>
  </si>
  <si>
    <t>Svovlbrintebekæmpelse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</si>
  <si>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</si>
  <si>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</si>
  <si>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</si>
  <si>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</si>
  <si>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</si>
  <si>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</si>
  <si>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</si>
  <si>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</si>
  <si>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</si>
  <si>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</si>
  <si>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</si>
  <si>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</si>
  <si>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</si>
  <si>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</si>
  <si>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</si>
  <si>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</si>
  <si>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</si>
  <si>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</si>
  <si>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</si>
  <si>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</si>
  <si>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</si>
  <si>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</si>
  <si>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</si>
  <si>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</si>
  <si>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</si>
  <si>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</si>
  <si>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</si>
  <si>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</si>
  <si>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</si>
  <si>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</si>
  <si>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</si>
  <si>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</si>
  <si>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</si>
  <si>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</si>
  <si>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</si>
  <si>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</si>
  <si>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</si>
  <si>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</si>
  <si>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</si>
  <si>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</si>
  <si>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</si>
  <si>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</si>
  <si>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</si>
  <si>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</si>
  <si>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</si>
  <si>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</si>
  <si>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</si>
  <si>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</si>
  <si>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</si>
  <si>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</si>
  <si>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</si>
  <si>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</si>
  <si>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Kværkeby Bæk</t>
  </si>
  <si>
    <t>Benløse Parken</t>
  </si>
  <si>
    <t>Torvet</t>
  </si>
  <si>
    <t>benløs Bypark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</si>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</sst>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10569126.049909009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1573412.5404000001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108678.47155333332</v>
      </c>
      <c r="C4" t="s">
        <v>11</v>
      </c>
    </row>
    <row r="5" spans="1:3" s="26" customFormat="1" x14ac:dyDescent="0.25">
      <c r="A5" s="3" t="s">
        <v>12</v>
      </c>
      <c r="B5" s="48">
        <f>SUM(B2:B4)</f>
        <v>12251217.061862342</v>
      </c>
      <c r="C5" s="62" t="s">
        <v>11</v>
      </c>
    </row>
    <row r="6" spans="1:3" x14ac:dyDescent="0.25">
      <c r="A6" s="47" t="s">
        <v>0</v>
      </c>
      <c r="B6" s="38">
        <f>Investeringer!E3</f>
        <v>28486477.817834776</v>
      </c>
      <c r="C6" s="23" t="s">
        <v>11</v>
      </c>
    </row>
    <row r="7" spans="1:3" x14ac:dyDescent="0.25">
      <c r="A7" s="4" t="s">
        <v>1</v>
      </c>
      <c r="B7" s="35">
        <f>Investeringer!F3</f>
        <v>4935878.0369066074</v>
      </c>
      <c r="C7" t="s">
        <v>11</v>
      </c>
    </row>
    <row r="8" spans="1:3" x14ac:dyDescent="0.25">
      <c r="A8" s="4" t="s">
        <v>2</v>
      </c>
      <c r="B8" s="35">
        <f>Investeringer!G3</f>
        <v>1279666.6666666667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2194186.003488</v>
      </c>
      <c r="C9" t="s">
        <v>11</v>
      </c>
    </row>
    <row r="10" spans="1:3" s="22" customFormat="1" x14ac:dyDescent="0.25">
      <c r="A10" s="3" t="s">
        <v>50</v>
      </c>
      <c r="B10" s="48">
        <f>SUM(B6:B9)</f>
        <v>36896208.524896048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1306805</v>
      </c>
      <c r="C11" t="s">
        <v>11</v>
      </c>
    </row>
    <row r="12" spans="1:3" s="22" customFormat="1" x14ac:dyDescent="0.25">
      <c r="A12" s="4" t="s">
        <v>52</v>
      </c>
      <c r="B12" s="35">
        <f>SUM(Medfinansiering!B:B)</f>
        <v>2049048.4250683822</v>
      </c>
      <c r="C12" s="22" t="s">
        <v>11</v>
      </c>
    </row>
    <row r="13" spans="1:3" s="22" customFormat="1" x14ac:dyDescent="0.25">
      <c r="A13" s="3" t="s">
        <v>74</v>
      </c>
      <c r="B13" s="48">
        <f>SUM(B11:B12)</f>
        <v>3355853.4250683822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63</v>
      </c>
      <c r="B15" s="37">
        <f>SUM(B5,B10,B13)</f>
        <v>52503279.011826769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55</v>
      </c>
      <c r="B17" s="37">
        <f>B15*Pristalsregulering!C8*Pristalsregulering!C9</f>
        <v>52968024.386786908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64</v>
      </c>
      <c r="D1" s="59" t="s">
        <v>65</v>
      </c>
      <c r="E1" s="59" t="s">
        <v>56</v>
      </c>
      <c r="F1" s="52" t="s">
        <v>66</v>
      </c>
      <c r="G1" s="52" t="s">
        <v>75</v>
      </c>
      <c r="H1" s="52" t="s">
        <v>67</v>
      </c>
      <c r="I1" s="52" t="s">
        <v>51</v>
      </c>
      <c r="J1" s="11" t="s">
        <v>68</v>
      </c>
      <c r="K1" s="11" t="s">
        <v>69</v>
      </c>
    </row>
    <row r="2" spans="1:11" s="23" customFormat="1" ht="15.75" thickTop="1" x14ac:dyDescent="0.25">
      <c r="A2" s="28">
        <v>2015</v>
      </c>
      <c r="B2" s="49">
        <v>11310595.83</v>
      </c>
      <c r="C2" s="49">
        <v>0</v>
      </c>
      <c r="D2" s="49">
        <f>B2+C2</f>
        <v>11310595.83</v>
      </c>
      <c r="E2" s="50">
        <f>D2</f>
        <v>11310595.83</v>
      </c>
      <c r="F2" s="49">
        <v>10569126.049909009</v>
      </c>
      <c r="G2" s="49">
        <v>0</v>
      </c>
      <c r="H2" s="49">
        <f>F2-G2</f>
        <v>10569126.049909009</v>
      </c>
      <c r="I2" s="49">
        <f>AVERAGEIF(E2:E4,"&lt;&gt;0")</f>
        <v>11343914.499407999</v>
      </c>
      <c r="J2" s="49">
        <v>9513486.5779496171</v>
      </c>
      <c r="K2" s="39">
        <f>IF(H2&gt;I2,IF(I2&gt;J2,I2,J2),H2)</f>
        <v>10569126.049909009</v>
      </c>
    </row>
    <row r="3" spans="1:11" s="23" customFormat="1" x14ac:dyDescent="0.25">
      <c r="A3" s="28">
        <v>2014</v>
      </c>
      <c r="B3" s="49">
        <v>12274162.75</v>
      </c>
      <c r="C3" s="49"/>
      <c r="D3" s="49">
        <f t="shared" ref="D3:D4" si="0">B3+C3</f>
        <v>12274162.75</v>
      </c>
      <c r="E3" s="50">
        <f>D3*Pristalsregulering!C7</f>
        <v>12283982.0802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10274702</v>
      </c>
      <c r="C4" s="49"/>
      <c r="D4" s="49">
        <f t="shared" si="0"/>
        <v>10274702</v>
      </c>
      <c r="E4" s="50">
        <f>D4*Pristalsregulering!$C$6*Pristalsregulering!$C$7</f>
        <v>10437165.588023998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22" customWidth="1"/>
    <col min="6" max="6" width="30.7109375" style="55" customWidth="1"/>
    <col min="7" max="8" width="30.7109375" customWidth="1"/>
    <col min="9" max="9" width="30.7109375" style="22" customWidth="1"/>
    <col min="10" max="10" width="30.7109375" style="55" customWidth="1"/>
    <col min="11" max="13" width="30.7109375" customWidth="1"/>
    <col min="14" max="14" width="30.7109375" style="55" customWidth="1"/>
    <col min="15" max="15" width="9.140625" hidden="1" customWidth="1"/>
    <col min="41" max="41" width="9.140625" hidden="1"/>
    <col min="58" max="58" width="9.140625" hidden="1"/>
    <col min="64" max="64" width="9.140625" hidden="1"/>
    <col min="66" max="66" width="9.140625" hidden="1"/>
    <col min="72" max="72" width="9.140625" hidden="1"/>
    <col min="93" max="93" width="9.140625" hidden="1"/>
    <col min="119" max="119" width="9.140625" hidden="1"/>
    <col min="136" max="136" width="9.140625" hidden="1"/>
    <col min="142" max="142" width="9.140625" hidden="1"/>
    <col min="144" max="144" width="9.140625" hidden="1"/>
    <col min="150" max="150" width="9.140625" hidden="1"/>
    <col min="153" max="153" width="9.140625" hidden="1"/>
    <col min="159" max="159" width="9.140625" hidden="1"/>
    <col min="161" max="161" width="9.140625" hidden="1"/>
    <col min="167" max="167" width="9.140625" hidden="1"/>
    <col min="173" max="173" width="9.140625" hidden="1"/>
    <col min="175" max="175" width="9.140625" hidden="1"/>
    <col min="181" max="181" width="9.140625" hidden="1"/>
    <col min="197" max="197" width="9.140625" hidden="1"/>
    <col min="214" max="214" width="9.140625" hidden="1"/>
    <col min="220" max="220" width="9.140625" hidden="1"/>
    <col min="222" max="222" width="9.140625" hidden="1"/>
    <col min="228" max="228" width="9.140625" hidden="1"/>
    <col min="231" max="231" width="9.140625" hidden="1"/>
    <col min="237" max="237" width="9.140625" hidden="1"/>
    <col min="239" max="239" width="9.140625" hidden="1"/>
    <col min="245" max="245" width="9.140625" hidden="1"/>
    <col min="251" max="251" width="9.140625" hidden="1"/>
    <col min="253" max="253" width="9.140625" hidden="1"/>
    <col min="259" max="259" width="9.140625" hidden="1"/>
    <col min="262" max="262" width="9.140625" hidden="1"/>
    <col min="268" max="268" width="9.140625" hidden="1"/>
    <col min="270" max="270" width="9.140625" hidden="1"/>
    <col min="276" max="276" width="9.140625" hidden="1"/>
    <col min="282" max="282" width="9.140625" hidden="1"/>
    <col min="284" max="284" width="9.140625" hidden="1"/>
    <col min="290" max="291" width="9.140625" hidden="1"/>
    <col min="297" max="297" width="9.140625" hidden="1"/>
    <col min="303" max="303" width="9.140625" hidden="1"/>
    <col min="305" max="305" width="9.140625" hidden="1"/>
    <col min="311" max="311" width="9.140625" hidden="1"/>
    <col min="314" max="314" width="9.140625" hidden="1"/>
    <col min="320" max="320" width="9.140625" hidden="1"/>
    <col min="322" max="322" width="9.140625" hidden="1"/>
    <col min="328" max="328" width="9.140625" hidden="1"/>
    <col min="334" max="334" width="9.140625" hidden="1"/>
    <col min="336" max="336" width="9.140625" hidden="1"/>
    <col min="342" max="16384" width="9.140625" hidden="1"/>
  </cols>
  <sheetData>
    <row r="1" spans="1:14" s="27" customFormat="1" ht="15.75" thickBot="1" x14ac:dyDescent="0.3">
      <c r="A1" s="9"/>
      <c r="B1" s="33" t="s">
        <v>81</v>
      </c>
      <c r="C1" s="33"/>
      <c r="D1" s="33"/>
      <c r="E1" s="33"/>
      <c r="F1" s="65" t="s">
        <v>82</v>
      </c>
      <c r="G1" s="10"/>
      <c r="H1" s="10"/>
      <c r="I1" s="10"/>
      <c r="J1" s="65" t="s">
        <v>83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56" t="s">
        <v>22</v>
      </c>
      <c r="G2" s="34" t="s">
        <v>23</v>
      </c>
      <c r="H2" s="34" t="s">
        <v>24</v>
      </c>
      <c r="I2" s="34" t="s">
        <v>25</v>
      </c>
      <c r="J2" s="56" t="s">
        <v>22</v>
      </c>
      <c r="K2" s="34" t="s">
        <v>23</v>
      </c>
      <c r="L2" s="34" t="s">
        <v>24</v>
      </c>
      <c r="M2" s="34" t="s">
        <v>25</v>
      </c>
      <c r="N2" s="53" t="s">
        <v>26</v>
      </c>
    </row>
    <row r="3" spans="1:14" s="22" customFormat="1" x14ac:dyDescent="0.25">
      <c r="A3" s="28">
        <v>2016</v>
      </c>
      <c r="B3" s="74"/>
      <c r="C3" s="74"/>
      <c r="D3" s="74">
        <v>50000</v>
      </c>
      <c r="E3" s="74"/>
      <c r="F3" s="45">
        <f>B3</f>
        <v>0</v>
      </c>
      <c r="G3" s="35">
        <f>C3</f>
        <v>0</v>
      </c>
      <c r="H3" s="35">
        <f>D3</f>
        <v>50000</v>
      </c>
      <c r="I3" s="35">
        <f>E3</f>
        <v>0</v>
      </c>
      <c r="J3" s="45">
        <f>IF(F4=0,0,AVERAGEIF(F4:F6,"&lt;&gt;0"))+F3</f>
        <v>128832.2012</v>
      </c>
      <c r="K3" s="38">
        <f>IF(G4=0,0,AVERAGEIF(G4:G6,"&lt;&gt;0"))+G3</f>
        <v>506369.1692</v>
      </c>
      <c r="L3" s="38">
        <f>IF(H4=0,0,AVERAGEIF(H4:H6,"&lt;&gt;0"))+H3</f>
        <v>50000</v>
      </c>
      <c r="M3" s="38">
        <f>IF(I4=0,0,AVERAGEIF(I4:I6,"&lt;&gt;0"))+I3</f>
        <v>888211.17</v>
      </c>
      <c r="N3" s="57">
        <f>SUM(J3:M3)</f>
        <v>1573412.5404000001</v>
      </c>
    </row>
    <row r="4" spans="1:14" x14ac:dyDescent="0.25">
      <c r="A4" s="28">
        <v>2015</v>
      </c>
      <c r="B4" s="35">
        <v>40738</v>
      </c>
      <c r="C4" s="35">
        <v>455620</v>
      </c>
      <c r="D4" s="35"/>
      <c r="E4" s="35">
        <v>888211.17</v>
      </c>
      <c r="F4" s="45">
        <f>B4</f>
        <v>40738</v>
      </c>
      <c r="G4" s="35">
        <f>C4</f>
        <v>455620</v>
      </c>
      <c r="H4" s="35">
        <f>D4</f>
        <v>0</v>
      </c>
      <c r="I4" s="35">
        <f>E4</f>
        <v>888211.17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216753</v>
      </c>
      <c r="C5" s="35">
        <v>556673</v>
      </c>
      <c r="D5" s="35">
        <v>49760</v>
      </c>
      <c r="E5" s="35"/>
      <c r="F5" s="45">
        <f>B5*Pristalsregulering!$C$7</f>
        <v>216926.40239999999</v>
      </c>
      <c r="G5" s="35">
        <f>C5*Pristalsregulering!$C$7</f>
        <v>557118.33840000001</v>
      </c>
      <c r="H5" s="35">
        <f>D5*Pristalsregulering!$C$7</f>
        <v>49799.807999999997</v>
      </c>
      <c r="I5" s="35">
        <f>E5*Pristalsregulering!$C$7</f>
        <v>0</v>
      </c>
      <c r="J5" s="45"/>
      <c r="K5" s="35"/>
      <c r="L5" s="35"/>
      <c r="M5" s="38"/>
      <c r="N5" s="45"/>
    </row>
    <row r="6" spans="1:14" x14ac:dyDescent="0.25">
      <c r="A6" s="28">
        <v>2013</v>
      </c>
      <c r="B6" s="35"/>
      <c r="C6" s="35"/>
      <c r="D6" s="35"/>
      <c r="E6" s="35"/>
      <c r="F6" s="45">
        <f>B6*Pristalsregulering!$C$7*Pristalsregulering!$C$6</f>
        <v>0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0</v>
      </c>
      <c r="J6" s="45"/>
      <c r="K6" s="35"/>
      <c r="L6" s="35"/>
      <c r="M6" s="38"/>
      <c r="N6" s="45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27</v>
      </c>
      <c r="C1" s="76"/>
      <c r="D1" s="76"/>
      <c r="E1" s="77" t="s">
        <v>57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27500</v>
      </c>
      <c r="C3" s="42">
        <v>88568</v>
      </c>
      <c r="D3" s="42">
        <v>0</v>
      </c>
      <c r="E3" s="41">
        <f>B3</f>
        <v>27500</v>
      </c>
      <c r="F3" s="42">
        <f t="shared" ref="F3:G3" si="0">C3</f>
        <v>88568</v>
      </c>
      <c r="G3" s="43">
        <f t="shared" si="0"/>
        <v>0</v>
      </c>
      <c r="H3" s="44">
        <f>IF(E3=0,0,AVERAGEIF(E3:E5,"&lt;&gt;0"))+IF(F3=0,0,AVERAGEIF(F3:F5,"&lt;&gt;0"))+IF(G3=0,0,AVERAGEIF(G3:G5,"&lt;&gt;0"))</f>
        <v>108678.47155333332</v>
      </c>
    </row>
    <row r="4" spans="1:8" x14ac:dyDescent="0.25">
      <c r="A4" s="31">
        <v>2014</v>
      </c>
      <c r="B4" s="41">
        <v>27500</v>
      </c>
      <c r="C4" s="42">
        <v>79272</v>
      </c>
      <c r="D4" s="42">
        <v>0</v>
      </c>
      <c r="E4" s="41">
        <f>B4*Pristalsregulering!$C$7</f>
        <v>27521.999999999996</v>
      </c>
      <c r="F4" s="42">
        <f>C4*Pristalsregulering!$C$7</f>
        <v>79335.417599999986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27500</v>
      </c>
      <c r="C5" s="42">
        <v>74005</v>
      </c>
      <c r="D5" s="42">
        <v>0</v>
      </c>
      <c r="E5" s="41">
        <f>B5*Pristalsregulering!$C$7*Pristalsregulering!$C$6</f>
        <v>27934.829999999994</v>
      </c>
      <c r="F5" s="42">
        <f>C5*Pristalsregulering!$C$7*Pristalsregulering!$C$6</f>
        <v>75175.167059999992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72</v>
      </c>
      <c r="C1" s="78"/>
      <c r="D1" s="79"/>
      <c r="E1" s="80" t="s">
        <v>73</v>
      </c>
      <c r="F1" s="80"/>
      <c r="G1" s="80"/>
    </row>
    <row r="2" spans="1:7" s="22" customFormat="1" ht="15.75" thickTop="1" x14ac:dyDescent="0.25">
      <c r="A2" s="71" t="s">
        <v>13</v>
      </c>
      <c r="B2" s="23" t="s">
        <v>70</v>
      </c>
      <c r="C2" s="23" t="s">
        <v>1</v>
      </c>
      <c r="D2" s="28" t="s">
        <v>71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26165614.85935666</v>
      </c>
      <c r="C3" s="38">
        <v>4817422.0600000015</v>
      </c>
      <c r="D3" s="40">
        <v>1279666.6666666667</v>
      </c>
      <c r="E3" s="35">
        <f>B3*Pristalsregulering!C2*Pristalsregulering!C3*Pristalsregulering!C4*Pristalsregulering!C5*Pristalsregulering!C6*Pristalsregulering!C7</f>
        <v>28486477.817834776</v>
      </c>
      <c r="F3" s="35">
        <v>4935878.0369066074</v>
      </c>
      <c r="G3" s="35">
        <f>D3</f>
        <v>1279666.6666666667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43</v>
      </c>
      <c r="C1" s="76"/>
      <c r="D1" s="76"/>
      <c r="E1" s="76"/>
      <c r="F1" s="77" t="s">
        <v>58</v>
      </c>
      <c r="G1" s="78"/>
      <c r="H1" s="78"/>
      <c r="I1" s="78"/>
      <c r="J1" s="81" t="s">
        <v>32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76</v>
      </c>
      <c r="M2" s="6" t="s">
        <v>31</v>
      </c>
      <c r="N2" s="32"/>
    </row>
    <row r="3" spans="1:14" x14ac:dyDescent="0.25">
      <c r="A3" s="28">
        <v>2015</v>
      </c>
      <c r="B3" s="45">
        <v>0</v>
      </c>
      <c r="C3" s="38">
        <v>2192130</v>
      </c>
      <c r="D3" s="38">
        <v>0</v>
      </c>
      <c r="E3" s="40">
        <v>0</v>
      </c>
      <c r="F3" s="38">
        <f>B3</f>
        <v>0</v>
      </c>
      <c r="G3" s="38">
        <f>C3</f>
        <v>2192130</v>
      </c>
      <c r="H3" s="38">
        <f>D3</f>
        <v>0</v>
      </c>
      <c r="I3" s="40">
        <f>E3</f>
        <v>0</v>
      </c>
      <c r="J3" s="42">
        <f>AVERAGE(F3:F5)</f>
        <v>2056.0034879999998</v>
      </c>
      <c r="K3" s="42">
        <f>G3</f>
        <v>2192130</v>
      </c>
      <c r="L3" s="43">
        <f>AVERAGE(H3:H5)+AVERAGE(I3:I5)</f>
        <v>0</v>
      </c>
      <c r="M3" s="44">
        <f>SUM(J3:L3)</f>
        <v>2194186.003488</v>
      </c>
      <c r="N3" s="23"/>
    </row>
    <row r="4" spans="1:14" x14ac:dyDescent="0.25">
      <c r="A4" s="28">
        <v>2014</v>
      </c>
      <c r="B4" s="45">
        <v>0</v>
      </c>
      <c r="C4" s="38">
        <v>1903536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1905058.8287999998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6072</v>
      </c>
      <c r="C5" s="38">
        <v>1531746</v>
      </c>
      <c r="D5" s="38">
        <v>0</v>
      </c>
      <c r="E5" s="40">
        <v>0</v>
      </c>
      <c r="F5" s="38">
        <f>IF(B5="","",B5*Pristalsregulering!$C$7*Pristalsregulering!$C$6)</f>
        <v>6168.010463999999</v>
      </c>
      <c r="G5" s="38">
        <f>IF(C5="","",C5*Pristalsregulering!$C$7*Pristalsregulering!$C$6)</f>
        <v>1555965.9677519996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253193</v>
      </c>
      <c r="E2" s="42">
        <v>5144</v>
      </c>
      <c r="F2" s="42">
        <v>0</v>
      </c>
      <c r="G2" s="42">
        <v>0</v>
      </c>
      <c r="H2" s="42">
        <v>1015945</v>
      </c>
      <c r="I2" s="42">
        <v>0</v>
      </c>
      <c r="J2" s="42"/>
      <c r="K2" s="42"/>
      <c r="L2" s="43">
        <v>0</v>
      </c>
      <c r="M2" s="44">
        <f>SUM(B2:L2)</f>
        <v>1306805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60</v>
      </c>
      <c r="B1" s="64" t="s">
        <v>61</v>
      </c>
    </row>
    <row r="2" spans="1:2" x14ac:dyDescent="0.25">
      <c r="A2" s="23" t="s">
        <v>77</v>
      </c>
      <c r="B2" s="35">
        <v>1315736</v>
      </c>
    </row>
    <row r="3" spans="1:2" x14ac:dyDescent="0.25">
      <c r="A3" t="s">
        <v>78</v>
      </c>
      <c r="B3" s="35">
        <v>0</v>
      </c>
    </row>
    <row r="4" spans="1:2" x14ac:dyDescent="0.25">
      <c r="A4" t="s">
        <v>79</v>
      </c>
      <c r="B4" s="35">
        <v>733312.42506838206</v>
      </c>
    </row>
    <row r="5" spans="1:2" x14ac:dyDescent="0.25">
      <c r="A5" t="s">
        <v>80</v>
      </c>
      <c r="B5" s="35">
        <v>0</v>
      </c>
    </row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62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2016-11-11T16:26:09Z</dcterms:modified>
</cp:coreProperties>
</file>