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6" l="1"/>
  <c r="G3" i="16"/>
  <c r="H3" i="16"/>
  <c r="I3" i="16"/>
  <c r="F3" i="17" l="1"/>
  <c r="G3" i="17"/>
  <c r="F4" i="16" l="1"/>
  <c r="G4" i="16"/>
  <c r="H4" i="16"/>
  <c r="I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H6" i="16"/>
  <c r="I5" i="16"/>
  <c r="M3" i="16" s="1"/>
  <c r="G6" i="16"/>
  <c r="J3" i="24"/>
  <c r="H5" i="16"/>
  <c r="L3" i="16" s="1"/>
  <c r="I6" i="16"/>
  <c r="F5" i="16"/>
  <c r="F6" i="16"/>
  <c r="K3" i="16" l="1"/>
  <c r="M3" i="24"/>
  <c r="B9" i="12" s="1"/>
  <c r="B10" i="12" s="1"/>
  <c r="J3" i="16"/>
  <c r="H3" i="17"/>
  <c r="B4" i="12" s="1"/>
  <c r="I2" i="15"/>
  <c r="K2" i="15" s="1"/>
  <c r="B2" i="12" s="1"/>
  <c r="N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<sst xmlns="http://schemas.openxmlformats.org/spreadsheetml/2006/main" count="131" uniqueCount="89">
  <si>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</si>
  <si>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</si>
  <si>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</si>
  <si>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</si>
  <si>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</si>
  <si>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</si>
  <si>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</si>
  <si>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</si>
  <si>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</si>
  <si>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</si>
  <si>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</si>
  <si>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</si>
  <si>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</si>
  <si>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</si>
  <si>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</si>
  <si>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</si>
  <si>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</si>
  <si>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</si>
  <si>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</si>
  <si>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</si>
  <si>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</si>
  <si>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</si>
  <si>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</si>
  <si>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Badevandskvalitet</t>
  </si>
  <si>
    <t>Skærpede rensningskrav</t>
  </si>
  <si>
    <t>Oprensning af Sorte Sø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</si>
  <si>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</si>
  <si>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</si>
  <si>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</si>
  <si>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</si>
  <si>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</si>
  <si>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</si>
  <si>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</si>
  <si>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</si>
  <si>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</si>
  <si>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</si>
  <si>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</si>
  <si>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</si>
  <si>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</si>
  <si>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</si>
  <si>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</si>
  <si>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</si>
  <si>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</si>
  <si>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</si>
  <si>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</si>
  <si>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</si>
  <si>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</si>
  <si>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</si>
  <si>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</si>
  <si>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</si>
  <si>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</si>
  <si>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</si>
  <si>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</si>
  <si>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</si>
  <si>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</si>
  <si>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</si>
  <si>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</si>
  <si>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</si>
  <si>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</si>
  <si>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</si>
  <si>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</si>
  <si>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</si>
  <si>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</si>
  <si>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</si>
  <si>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</si>
  <si>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</si>
  <si>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</si>
  <si>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</si>
  <si>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</si>
  <si>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</si>
  <si>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</si>
  <si>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</si>
  <si>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</si>
  <si>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</si>
  <si>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</si>
  <si>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</si>
  <si>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</si>
  <si>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Galten Nord</t>
  </si>
  <si>
    <t>Højvangens Torv</t>
  </si>
  <si>
    <t>Låsby</t>
  </si>
  <si>
    <t>Rema 1000</t>
  </si>
  <si>
    <t>Tippethøj</t>
  </si>
  <si>
    <t>Vestergade</t>
  </si>
  <si>
    <t>Galten</t>
  </si>
  <si>
    <t>Agnetevej</t>
  </si>
  <si>
    <t>Siimvej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</si>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</sst>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25227365.695225332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1262876.0388839999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155950.90986666665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26646192.643975999</v>
      </c>
      <c r="C5" s="62" t="s">
        <v>11</v>
      </c>
    </row>
    <row r="6" spans="1:3" x14ac:dyDescent="0.25">
      <c r="A6" s="47" t="s">
        <v>0</v>
      </c>
      <c r="B6" s="38">
        <f>Investeringer!E3</f>
        <v>54014856.907850243</v>
      </c>
      <c r="C6" s="23" t="s">
        <v>11</v>
      </c>
    </row>
    <row r="7" spans="1:3" x14ac:dyDescent="0.25">
      <c r="A7" s="4" t="s">
        <v>1</v>
      </c>
      <c r="B7" s="35">
        <f>Investeringer!F3</f>
        <v>7521412.0901485747</v>
      </c>
      <c r="C7" t="s">
        <v>11</v>
      </c>
    </row>
    <row r="8" spans="1:3" x14ac:dyDescent="0.25">
      <c r="A8" s="4" t="s">
        <v>2</v>
      </c>
      <c r="B8" s="35">
        <f>Investeringer!G3</f>
        <v>2418095.2000000002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584700.79146666662</v>
      </c>
      <c r="C9" t="s">
        <v>11</v>
      </c>
    </row>
    <row r="10" spans="1:3" s="22" customFormat="1" x14ac:dyDescent="0.25">
      <c r="A10" s="3" t="s">
        <v>50</v>
      </c>
      <c r="B10" s="48">
        <f>SUM(B6:B9)</f>
        <v>64539064.98946549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4222098.54</v>
      </c>
      <c r="C11" t="s">
        <v>11</v>
      </c>
    </row>
    <row r="12" spans="1:3" s="22" customFormat="1" x14ac:dyDescent="0.25">
      <c r="A12" s="4" t="s">
        <v>52</v>
      </c>
      <c r="B12" s="35">
        <f>SUM(Medfinansiering!B:B)</f>
        <v>2089906.41</v>
      </c>
      <c r="C12" s="22" t="s">
        <v>11</v>
      </c>
    </row>
    <row r="13" spans="1:3" s="22" customFormat="1" x14ac:dyDescent="0.25">
      <c r="A13" s="3" t="s">
        <v>74</v>
      </c>
      <c r="B13" s="48">
        <f>SUM(B11:B12)</f>
        <v>6312004.9500000002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63</v>
      </c>
      <c r="B15" s="37">
        <f>SUM(B5,B10,B13)</f>
        <v>97497262.583441496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55</v>
      </c>
      <c r="B17" s="37">
        <f>B15*Pristalsregulering!C8*Pristalsregulering!C9</f>
        <v>98360283.00254184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64</v>
      </c>
      <c r="D1" s="59" t="s">
        <v>65</v>
      </c>
      <c r="E1" s="59" t="s">
        <v>56</v>
      </c>
      <c r="F1" s="52" t="s">
        <v>66</v>
      </c>
      <c r="G1" s="52" t="s">
        <v>75</v>
      </c>
      <c r="H1" s="52" t="s">
        <v>67</v>
      </c>
      <c r="I1" s="52" t="s">
        <v>51</v>
      </c>
      <c r="J1" s="11" t="s">
        <v>68</v>
      </c>
      <c r="K1" s="11" t="s">
        <v>69</v>
      </c>
    </row>
    <row r="2" spans="1:11" s="23" customFormat="1" ht="15.75" thickTop="1" x14ac:dyDescent="0.25">
      <c r="A2" s="28">
        <v>2015</v>
      </c>
      <c r="B2" s="49">
        <v>25589829.460000001</v>
      </c>
      <c r="C2" s="49">
        <v>0</v>
      </c>
      <c r="D2" s="49">
        <f>B2+C2</f>
        <v>25589829.460000001</v>
      </c>
      <c r="E2" s="50">
        <f>D2</f>
        <v>25589829.460000001</v>
      </c>
      <c r="F2" s="49">
        <v>31781222.424185529</v>
      </c>
      <c r="G2" s="49">
        <v>0</v>
      </c>
      <c r="H2" s="49">
        <f>F2-G2</f>
        <v>31781222.424185529</v>
      </c>
      <c r="I2" s="49">
        <f>AVERAGEIF(E2:E4,"&lt;&gt;0")</f>
        <v>25227365.695225332</v>
      </c>
      <c r="J2" s="49">
        <v>24799902.39621406</v>
      </c>
      <c r="K2" s="39">
        <f>IF(H2&gt;I2,IF(I2&gt;J2,I2,J2),H2)</f>
        <v>25227365.695225332</v>
      </c>
    </row>
    <row r="3" spans="1:11" s="23" customFormat="1" x14ac:dyDescent="0.25">
      <c r="A3" s="28">
        <v>2014</v>
      </c>
      <c r="B3" s="49">
        <v>25414194</v>
      </c>
      <c r="C3" s="49"/>
      <c r="D3" s="49">
        <f t="shared" ref="D3:D4" si="0">B3+C3</f>
        <v>25414194</v>
      </c>
      <c r="E3" s="50">
        <f>D3*Pristalsregulering!C7</f>
        <v>25434525.355199996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24273923</v>
      </c>
      <c r="C4" s="49"/>
      <c r="D4" s="49">
        <f t="shared" si="0"/>
        <v>24273923</v>
      </c>
      <c r="E4" s="50">
        <f>D4*Pristalsregulering!$C$6*Pristalsregulering!$C$7</f>
        <v>24657742.270475995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L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5" customWidth="1"/>
    <col min="7" max="9" width="30.7109375" customWidth="1"/>
    <col min="10" max="10" width="30.7109375" style="55" customWidth="1"/>
    <col min="11" max="13" width="30.7109375" customWidth="1"/>
    <col min="14" max="14" width="30.7109375" style="55" customWidth="1"/>
    <col min="15" max="15" width="9.140625" hidden="1" customWidth="1"/>
    <col min="68" max="71" width="9.140625" hidden="1"/>
    <col min="113" max="116" width="9.140625" hidden="1"/>
    <col min="129" max="132" width="9.140625" hidden="1"/>
    <col min="174" max="180" width="9.140625" hidden="1"/>
    <col min="219" max="225" width="9.140625" hidden="1"/>
    <col min="235" max="241" width="9.140625" hidden="1"/>
    <col min="280" max="289" width="9.140625" hidden="1"/>
    <col min="325" max="16384" width="9.140625" hidden="1"/>
  </cols>
  <sheetData>
    <row r="1" spans="1:14" s="27" customFormat="1" ht="15.75" thickBot="1" x14ac:dyDescent="0.3">
      <c r="A1" s="9"/>
      <c r="B1" s="33" t="s">
        <v>86</v>
      </c>
      <c r="C1" s="33"/>
      <c r="D1" s="33"/>
      <c r="E1" s="33"/>
      <c r="F1" s="65" t="s">
        <v>87</v>
      </c>
      <c r="G1" s="10"/>
      <c r="H1" s="10"/>
      <c r="I1" s="10"/>
      <c r="J1" s="65" t="s">
        <v>88</v>
      </c>
      <c r="K1" s="10"/>
      <c r="L1" s="10"/>
      <c r="M1" s="10"/>
      <c r="N1" s="65"/>
    </row>
    <row r="2" spans="1:14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56" t="s">
        <v>22</v>
      </c>
      <c r="G2" s="34" t="s">
        <v>23</v>
      </c>
      <c r="H2" s="34" t="s">
        <v>24</v>
      </c>
      <c r="I2" s="34" t="s">
        <v>25</v>
      </c>
      <c r="J2" s="56" t="s">
        <v>22</v>
      </c>
      <c r="K2" s="34" t="s">
        <v>23</v>
      </c>
      <c r="L2" s="34" t="s">
        <v>24</v>
      </c>
      <c r="M2" s="34" t="s">
        <v>25</v>
      </c>
      <c r="N2" s="53" t="s">
        <v>26</v>
      </c>
    </row>
    <row r="3" spans="1:14" s="22" customFormat="1" x14ac:dyDescent="0.25">
      <c r="A3" s="28">
        <v>2016</v>
      </c>
      <c r="B3" s="74"/>
      <c r="C3" s="74">
        <v>750000</v>
      </c>
      <c r="D3" s="74">
        <v>25000</v>
      </c>
      <c r="E3" s="74"/>
      <c r="F3" s="45">
        <f>B3</f>
        <v>0</v>
      </c>
      <c r="G3" s="35">
        <f>C3</f>
        <v>750000</v>
      </c>
      <c r="H3" s="35">
        <f>D3</f>
        <v>25000</v>
      </c>
      <c r="I3" s="35">
        <f>E3</f>
        <v>0</v>
      </c>
      <c r="J3" s="45">
        <f>IF(F4=0,0,AVERAGEIF(F4:F6,"&lt;&gt;0"))+F3</f>
        <v>190256.59262399995</v>
      </c>
      <c r="K3" s="38">
        <f>IF(G4=0,0,AVERAGEIF(G4:G6,"&lt;&gt;0"))+G3</f>
        <v>750000</v>
      </c>
      <c r="L3" s="38">
        <f>IF(H4=0,0,AVERAGEIF(H4:H6,"&lt;&gt;0"))+H3</f>
        <v>25000</v>
      </c>
      <c r="M3" s="38">
        <f>IF(I4=0,0,AVERAGEIF(I4:I6,"&lt;&gt;0"))+I3</f>
        <v>297619.44625999994</v>
      </c>
      <c r="N3" s="57">
        <f>SUM(J3:M3)</f>
        <v>1262876.0388839999</v>
      </c>
    </row>
    <row r="4" spans="1:14" x14ac:dyDescent="0.25">
      <c r="A4" s="28">
        <v>2015</v>
      </c>
      <c r="B4" s="35">
        <v>158643</v>
      </c>
      <c r="C4" s="35"/>
      <c r="D4" s="35"/>
      <c r="E4" s="35">
        <v>55797</v>
      </c>
      <c r="F4" s="45">
        <f>B4</f>
        <v>158643</v>
      </c>
      <c r="G4" s="35">
        <f>C4</f>
        <v>0</v>
      </c>
      <c r="H4" s="35">
        <f>D4</f>
        <v>0</v>
      </c>
      <c r="I4" s="35">
        <f>E4</f>
        <v>55797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201331</v>
      </c>
      <c r="C5" s="35"/>
      <c r="D5" s="35"/>
      <c r="E5" s="35">
        <v>378815</v>
      </c>
      <c r="F5" s="45">
        <f>B5*Pristalsregulering!$C$7</f>
        <v>201492.06479999999</v>
      </c>
      <c r="G5" s="35">
        <f>C5*Pristalsregulering!$C$7</f>
        <v>0</v>
      </c>
      <c r="H5" s="35">
        <f>D5*Pristalsregulering!$C$7</f>
        <v>0</v>
      </c>
      <c r="I5" s="35">
        <f>E5*Pristalsregulering!$C$7</f>
        <v>379118.05199999997</v>
      </c>
      <c r="J5" s="45"/>
      <c r="K5" s="35"/>
      <c r="L5" s="35"/>
      <c r="M5" s="35"/>
      <c r="N5" s="45"/>
    </row>
    <row r="6" spans="1:14" x14ac:dyDescent="0.25">
      <c r="A6" s="28">
        <v>2013</v>
      </c>
      <c r="B6" s="35">
        <v>207356</v>
      </c>
      <c r="C6" s="35"/>
      <c r="D6" s="35"/>
      <c r="E6" s="35">
        <v>450815</v>
      </c>
      <c r="F6" s="45">
        <f>B6*Pristalsregulering!$C$7*Pristalsregulering!$C$6</f>
        <v>210634.71307199995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457943.28677999991</v>
      </c>
      <c r="J6" s="45"/>
      <c r="K6" s="35"/>
      <c r="L6" s="35"/>
      <c r="M6" s="35"/>
      <c r="N6" s="45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27</v>
      </c>
      <c r="C1" s="76"/>
      <c r="D1" s="76"/>
      <c r="E1" s="77" t="s">
        <v>57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24000</v>
      </c>
      <c r="C3" s="42">
        <v>155210</v>
      </c>
      <c r="D3" s="42">
        <v>0</v>
      </c>
      <c r="E3" s="41">
        <f>B3</f>
        <v>24000</v>
      </c>
      <c r="F3" s="42">
        <f t="shared" ref="F3:G3" si="0">C3</f>
        <v>155210</v>
      </c>
      <c r="G3" s="43">
        <f t="shared" si="0"/>
        <v>0</v>
      </c>
      <c r="H3" s="44">
        <f>IF(E3=0,0,AVERAGEIF(E3:E5,"&lt;&gt;0"))+IF(F3=0,0,AVERAGEIF(F3:F5,"&lt;&gt;0"))+IF(G3=0,0,AVERAGEIF(G3:G5,"&lt;&gt;0"))</f>
        <v>155950.90986666665</v>
      </c>
    </row>
    <row r="4" spans="1:8" x14ac:dyDescent="0.25">
      <c r="A4" s="31">
        <v>2014</v>
      </c>
      <c r="B4" s="41">
        <v>32000</v>
      </c>
      <c r="C4" s="42">
        <v>109440</v>
      </c>
      <c r="D4" s="42">
        <v>0</v>
      </c>
      <c r="E4" s="41">
        <f>B4*Pristalsregulering!$C$7</f>
        <v>32025.599999999999</v>
      </c>
      <c r="F4" s="42">
        <f>C4*Pristalsregulering!$C$7</f>
        <v>109527.552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32000</v>
      </c>
      <c r="C5" s="42">
        <v>112800</v>
      </c>
      <c r="D5" s="42">
        <v>0</v>
      </c>
      <c r="E5" s="41">
        <f>B5*Pristalsregulering!$C$7*Pristalsregulering!$C$6</f>
        <v>32505.983999999997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72</v>
      </c>
      <c r="C1" s="78"/>
      <c r="D1" s="79"/>
      <c r="E1" s="80" t="s">
        <v>73</v>
      </c>
      <c r="F1" s="80"/>
      <c r="G1" s="80"/>
    </row>
    <row r="2" spans="1:7" s="22" customFormat="1" ht="15.75" thickTop="1" x14ac:dyDescent="0.25">
      <c r="A2" s="71" t="s">
        <v>13</v>
      </c>
      <c r="B2" s="23" t="s">
        <v>70</v>
      </c>
      <c r="C2" s="23" t="s">
        <v>1</v>
      </c>
      <c r="D2" s="28" t="s">
        <v>71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49614134.522773929</v>
      </c>
      <c r="C3" s="38">
        <v>7299028.214695435</v>
      </c>
      <c r="D3" s="40">
        <v>2418095.2000000002</v>
      </c>
      <c r="E3" s="35">
        <f>B3*Pristalsregulering!C2*Pristalsregulering!C3*Pristalsregulering!C4*Pristalsregulering!C5*Pristalsregulering!C6*Pristalsregulering!C7</f>
        <v>54014856.907850243</v>
      </c>
      <c r="F3" s="35">
        <v>7521412.0901485747</v>
      </c>
      <c r="G3" s="35">
        <f>D3</f>
        <v>2418095.2000000002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43</v>
      </c>
      <c r="C1" s="76"/>
      <c r="D1" s="76"/>
      <c r="E1" s="76"/>
      <c r="F1" s="77" t="s">
        <v>58</v>
      </c>
      <c r="G1" s="78"/>
      <c r="H1" s="78"/>
      <c r="I1" s="78"/>
      <c r="J1" s="81" t="s">
        <v>32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76</v>
      </c>
      <c r="M2" s="6" t="s">
        <v>31</v>
      </c>
      <c r="N2" s="32"/>
    </row>
    <row r="3" spans="1:14" x14ac:dyDescent="0.25">
      <c r="A3" s="28">
        <v>2015</v>
      </c>
      <c r="B3" s="45">
        <v>187199</v>
      </c>
      <c r="C3" s="38">
        <v>341499.98</v>
      </c>
      <c r="D3" s="38">
        <v>49291.26</v>
      </c>
      <c r="E3" s="40">
        <v>0</v>
      </c>
      <c r="F3" s="38">
        <f>B3</f>
        <v>187199</v>
      </c>
      <c r="G3" s="38">
        <f>C3</f>
        <v>341499.98</v>
      </c>
      <c r="H3" s="38">
        <f>D3</f>
        <v>49291.26</v>
      </c>
      <c r="I3" s="40">
        <f>E3</f>
        <v>0</v>
      </c>
      <c r="J3" s="42">
        <f>AVERAGE(F3:F5)</f>
        <v>124849.25306666666</v>
      </c>
      <c r="K3" s="42">
        <f>G3</f>
        <v>341499.98</v>
      </c>
      <c r="L3" s="43">
        <f>AVERAGE(H3:H5)+AVERAGE(I3:I5)</f>
        <v>118351.55839999998</v>
      </c>
      <c r="M3" s="44">
        <f>SUM(J3:L3)</f>
        <v>584700.79146666662</v>
      </c>
      <c r="N3" s="23"/>
    </row>
    <row r="4" spans="1:14" x14ac:dyDescent="0.25">
      <c r="A4" s="28">
        <v>2014</v>
      </c>
      <c r="B4" s="45">
        <v>187199</v>
      </c>
      <c r="C4" s="38">
        <v>623977</v>
      </c>
      <c r="D4" s="38">
        <v>51769</v>
      </c>
      <c r="E4" s="40">
        <v>0</v>
      </c>
      <c r="F4" s="38">
        <f>IF(B4="","",B4*Pristalsregulering!$C$7)</f>
        <v>187348.75919999997</v>
      </c>
      <c r="G4" s="38">
        <f>IF(C4="","",C4*Pristalsregulering!$C$7)</f>
        <v>624476.18159999989</v>
      </c>
      <c r="H4" s="38">
        <f>IF(D4="","",D4*Pristalsregulering!$C$7)</f>
        <v>51810.415199999996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365260</v>
      </c>
      <c r="D5" s="38">
        <v>250000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371035.49111999996</v>
      </c>
      <c r="H5" s="38">
        <f>IF(D5="","",D5*Pristalsregulering!$C$7*Pristalsregulering!$C$6)</f>
        <v>253952.99999999994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2">
        <v>16261.37</v>
      </c>
      <c r="C2" s="42">
        <v>86878.99</v>
      </c>
      <c r="D2" s="42">
        <v>375408.18</v>
      </c>
      <c r="E2" s="42">
        <v>2492840</v>
      </c>
      <c r="F2" s="42">
        <v>0</v>
      </c>
      <c r="G2" s="42">
        <v>0</v>
      </c>
      <c r="H2" s="42">
        <v>1250710</v>
      </c>
      <c r="I2" s="42">
        <v>0</v>
      </c>
      <c r="J2" s="42"/>
      <c r="K2" s="42"/>
      <c r="L2" s="43">
        <v>0</v>
      </c>
      <c r="M2" s="44">
        <f>SUM(B2:L2)</f>
        <v>4222098.54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60</v>
      </c>
      <c r="B1" s="64" t="s">
        <v>61</v>
      </c>
    </row>
    <row r="2" spans="1:2" x14ac:dyDescent="0.25">
      <c r="A2" s="23" t="s">
        <v>77</v>
      </c>
      <c r="B2" s="35">
        <v>220910.84</v>
      </c>
    </row>
    <row r="3" spans="1:2" x14ac:dyDescent="0.25">
      <c r="A3" t="s">
        <v>78</v>
      </c>
      <c r="B3" s="35">
        <v>187009</v>
      </c>
    </row>
    <row r="4" spans="1:2" x14ac:dyDescent="0.25">
      <c r="A4" t="s">
        <v>79</v>
      </c>
      <c r="B4" s="35">
        <v>290228.8</v>
      </c>
    </row>
    <row r="5" spans="1:2" x14ac:dyDescent="0.25">
      <c r="A5" t="s">
        <v>80</v>
      </c>
      <c r="B5" s="35">
        <v>303461.36</v>
      </c>
    </row>
    <row r="6" spans="1:2" x14ac:dyDescent="0.25">
      <c r="A6" t="s">
        <v>81</v>
      </c>
      <c r="B6" s="35">
        <v>72334.41</v>
      </c>
    </row>
    <row r="7" spans="1:2" x14ac:dyDescent="0.25">
      <c r="A7" t="s">
        <v>82</v>
      </c>
      <c r="B7" s="35">
        <v>238829</v>
      </c>
    </row>
    <row r="8" spans="1:2" x14ac:dyDescent="0.25">
      <c r="A8" t="s">
        <v>83</v>
      </c>
      <c r="B8" s="35">
        <v>191529</v>
      </c>
    </row>
    <row r="9" spans="1:2" x14ac:dyDescent="0.25">
      <c r="A9" t="s">
        <v>84</v>
      </c>
      <c r="B9" s="35">
        <v>168390</v>
      </c>
    </row>
    <row r="10" spans="1:2" x14ac:dyDescent="0.25">
      <c r="A10" t="s">
        <v>85</v>
      </c>
      <c r="B10" s="35">
        <v>68349</v>
      </c>
    </row>
    <row r="11" spans="1:2" x14ac:dyDescent="0.25">
      <c r="A11" t="s">
        <v>79</v>
      </c>
      <c r="B11" s="35">
        <v>348865</v>
      </c>
    </row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62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2016-11-11T16:26:28Z</dcterms:modified>
</cp:coreProperties>
</file>