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1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D3" i="16" l="1"/>
  <c r="E3" i="16"/>
  <c r="F3" i="17" l="1"/>
  <c r="G3" i="17"/>
  <c r="D4" i="16" l="1"/>
  <c r="E4" i="16"/>
  <c r="G3" i="16" s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E6" i="16"/>
  <c r="F3" i="16" l="1"/>
  <c r="M3" i="24"/>
  <c r="B10" i="12" s="1"/>
  <c r="B11" i="12" s="1"/>
  <c r="H3" i="17"/>
  <c r="B4" i="12" s="1"/>
  <c r="I2" i="15"/>
  <c r="K2" i="15" s="1"/>
  <c r="B2" i="12" s="1"/>
  <c r="H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<sst xmlns="http://schemas.openxmlformats.org/spreadsheetml/2006/main" count="115" uniqueCount="77">
  <si>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</si>
  <si>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</si>
  <si>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</si>
  <si>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</si>
  <si>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</si>
  <si>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</si>
  <si>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</si>
  <si>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</si>
  <si>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</si>
  <si>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</si>
  <si>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</si>
  <si>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</si>
  <si>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</si>
  <si>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</si>
  <si>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</si>
  <si>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</si>
  <si>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</si>
  <si>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</si>
  <si>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</si>
  <si>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</si>
  <si>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</si>
  <si>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</si>
  <si>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</si>
  <si>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>Forbrugervalg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</si>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</sst>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12820363.689167999</v>
      </c>
      <c r="C2" t="s">
        <v>11</v>
      </c>
    </row>
    <row r="3" spans="1:3" s="2" customFormat="1" x14ac:dyDescent="0.25">
      <c r="A3" s="6" t="s">
        <v>8</v>
      </c>
      <c r="B3" s="39">
        <f>'Miljø- og servicemål'!H3</f>
        <v>35354.692639999994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66358.09106666666</v>
      </c>
      <c r="C4" t="s">
        <v>11</v>
      </c>
    </row>
    <row r="5" spans="1:3" s="29" customFormat="1" x14ac:dyDescent="0.25">
      <c r="A5" s="5" t="s">
        <v>52</v>
      </c>
      <c r="B5" s="38">
        <f>'Periodevise driftsomkostninger'!B2</f>
        <v>1151759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14073835.472874664</v>
      </c>
      <c r="C6" s="65" t="s">
        <v>11</v>
      </c>
    </row>
    <row r="7" spans="1:3" x14ac:dyDescent="0.25">
      <c r="A7" s="50" t="s">
        <v>0</v>
      </c>
      <c r="B7" s="41">
        <f>Investeringer!E3</f>
        <v>29820099.984645635</v>
      </c>
      <c r="C7" s="26" t="s">
        <v>11</v>
      </c>
    </row>
    <row r="8" spans="1:3" x14ac:dyDescent="0.25">
      <c r="A8" s="5" t="s">
        <v>1</v>
      </c>
      <c r="B8" s="38">
        <f>Investeringer!F3</f>
        <v>5611875.4776337473</v>
      </c>
      <c r="C8" t="s">
        <v>11</v>
      </c>
    </row>
    <row r="9" spans="1:3" x14ac:dyDescent="0.25">
      <c r="A9" s="5" t="s">
        <v>2</v>
      </c>
      <c r="B9" s="38">
        <f>Investeringer!G3</f>
        <v>749806.66666666663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1272370</v>
      </c>
      <c r="C10" t="s">
        <v>11</v>
      </c>
    </row>
    <row r="11" spans="1:3" s="25" customFormat="1" x14ac:dyDescent="0.25">
      <c r="A11" s="4" t="s">
        <v>48</v>
      </c>
      <c r="B11" s="51">
        <f>SUM(B7:B10)</f>
        <v>37454152.128946044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629366</v>
      </c>
      <c r="C12" t="s">
        <v>11</v>
      </c>
    </row>
    <row r="13" spans="1:3" s="25" customFormat="1" x14ac:dyDescent="0.25">
      <c r="A13" s="4" t="s">
        <v>71</v>
      </c>
      <c r="B13" s="51">
        <f>SUM(B12:B12)</f>
        <v>629366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60</v>
      </c>
      <c r="B15" s="40">
        <f>SUM(B6,B11,B13)</f>
        <v>52157353.601820707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54</v>
      </c>
      <c r="B17" s="40">
        <f>B15*Pristalsregulering!C8*Pristalsregulering!C9</f>
        <v>52619036.934992082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61</v>
      </c>
      <c r="D1" s="62" t="s">
        <v>62</v>
      </c>
      <c r="E1" s="62" t="s">
        <v>55</v>
      </c>
      <c r="F1" s="55" t="s">
        <v>63</v>
      </c>
      <c r="G1" s="55" t="s">
        <v>72</v>
      </c>
      <c r="H1" s="55" t="s">
        <v>64</v>
      </c>
      <c r="I1" s="55" t="s">
        <v>49</v>
      </c>
      <c r="J1" s="14" t="s">
        <v>65</v>
      </c>
      <c r="K1" s="14" t="s">
        <v>66</v>
      </c>
    </row>
    <row r="2" spans="1:11" s="26" customFormat="1" ht="15.75" thickTop="1" x14ac:dyDescent="0.25">
      <c r="A2" s="31">
        <v>2015</v>
      </c>
      <c r="B2" s="52">
        <v>13210047</v>
      </c>
      <c r="C2" s="52">
        <v>0</v>
      </c>
      <c r="D2" s="52">
        <f>B2+C2</f>
        <v>13210047</v>
      </c>
      <c r="E2" s="53">
        <f>D2</f>
        <v>13210047</v>
      </c>
      <c r="F2" s="52">
        <v>15797663.224022815</v>
      </c>
      <c r="G2" s="52">
        <v>1222451.0315912117</v>
      </c>
      <c r="H2" s="52">
        <f>F2-G2</f>
        <v>14575212.192431603</v>
      </c>
      <c r="I2" s="52">
        <f>AVERAGEIF(E2:E4,"&lt;&gt;0")</f>
        <v>12820363.689167999</v>
      </c>
      <c r="J2" s="52">
        <v>12540208.586911913</v>
      </c>
      <c r="K2" s="42">
        <f>IF(H2&gt;I2,IF(I2&gt;J2,I2,J2),H2)</f>
        <v>12820363.689167999</v>
      </c>
    </row>
    <row r="3" spans="1:11" s="26" customFormat="1" x14ac:dyDescent="0.25">
      <c r="A3" s="31">
        <v>2014</v>
      </c>
      <c r="B3" s="52">
        <v>12311440</v>
      </c>
      <c r="C3" s="52"/>
      <c r="D3" s="52">
        <f t="shared" ref="D3:D4" si="0">B3+C3</f>
        <v>12311440</v>
      </c>
      <c r="E3" s="53">
        <f>D3*Pristalsregulering!C7</f>
        <v>12321289.151999999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12728492</v>
      </c>
      <c r="C4" s="52"/>
      <c r="D4" s="52">
        <f t="shared" si="0"/>
        <v>12728492</v>
      </c>
      <c r="E4" s="53">
        <f>D4*Pristalsregulering!$C$6*Pristalsregulering!$C$7</f>
        <v>12929754.915503997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8" customWidth="1"/>
    <col min="5" max="5" width="30.7109375" customWidth="1"/>
    <col min="6" max="6" width="30.7109375" style="58" customWidth="1"/>
    <col min="7" max="7" width="30.7109375" customWidth="1"/>
    <col min="8" max="8" width="30.7109375" style="58" customWidth="1"/>
    <col min="9" max="9" width="9.140625" hidden="1" customWidth="1"/>
    <col min="10" max="49" width="0" hidden="1" customWidth="1"/>
    <col min="50" max="50" width="9.140625" hidden="1" customWidth="1"/>
    <col min="51" max="65" width="0" hidden="1" customWidth="1"/>
    <col min="66" max="66" width="9.140625" hidden="1" customWidth="1"/>
    <col min="67" max="103" width="0" hidden="1" customWidth="1"/>
    <col min="104" max="104" width="9.140625" hidden="1" customWidth="1"/>
    <col min="105" max="144" width="0" hidden="1" customWidth="1"/>
    <col min="145" max="145" width="9.140625" hidden="1" customWidth="1"/>
    <col min="146" max="160" width="0" hidden="1" customWidth="1"/>
    <col min="161" max="161" width="9.140625" hidden="1" customWidth="1"/>
    <col min="162" max="176" width="0" hidden="1" customWidth="1"/>
    <col min="177" max="177" width="9.140625" hidden="1" customWidth="1"/>
    <col min="178" max="198" width="0" hidden="1" customWidth="1"/>
    <col min="199" max="199" width="9.140625" hidden="1" customWidth="1"/>
    <col min="200" max="239" width="0" hidden="1" customWidth="1"/>
    <col min="240" max="240" width="9.140625" hidden="1" customWidth="1"/>
    <col min="241" max="255" width="0" hidden="1" customWidth="1"/>
    <col min="256" max="256" width="9.140625" hidden="1" customWidth="1"/>
    <col min="257" max="271" width="0" hidden="1" customWidth="1"/>
    <col min="272" max="272" width="9.140625" hidden="1" customWidth="1"/>
    <col min="273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309" width="0" hidden="1" customWidth="1"/>
    <col min="310" max="310" width="9.140625" hidden="1" customWidth="1"/>
    <col min="311" max="325" width="0" hidden="1" customWidth="1"/>
    <col min="326" max="326" width="9.140625" hidden="1" customWidth="1"/>
    <col min="327" max="341" width="0" hidden="1" customWidth="1"/>
    <col min="342" max="16384" width="9.140625" hidden="1"/>
  </cols>
  <sheetData>
    <row r="1" spans="1:8" s="30" customFormat="1" ht="15.75" thickBot="1" x14ac:dyDescent="0.3">
      <c r="A1" s="10"/>
      <c r="B1" s="36" t="s">
        <v>74</v>
      </c>
      <c r="C1" s="36"/>
      <c r="D1" s="66" t="s">
        <v>75</v>
      </c>
      <c r="E1" s="13"/>
      <c r="F1" s="66" t="s">
        <v>76</v>
      </c>
      <c r="G1" s="13"/>
      <c r="H1" s="66"/>
    </row>
    <row r="2" spans="1:8" ht="15.75" thickTop="1" x14ac:dyDescent="0.25">
      <c r="A2" s="20" t="s">
        <v>13</v>
      </c>
      <c r="B2" s="37" t="s">
        <v>22</v>
      </c>
      <c r="C2" s="37" t="s">
        <v>23</v>
      </c>
      <c r="D2" s="59" t="s">
        <v>22</v>
      </c>
      <c r="E2" s="37" t="s">
        <v>23</v>
      </c>
      <c r="F2" s="59" t="s">
        <v>22</v>
      </c>
      <c r="G2" s="37" t="s">
        <v>23</v>
      </c>
      <c r="H2" s="56" t="s">
        <v>24</v>
      </c>
    </row>
    <row r="3" spans="1:8" s="25" customFormat="1" x14ac:dyDescent="0.25">
      <c r="A3" s="31">
        <v>2016</v>
      </c>
      <c r="B3" s="75"/>
      <c r="C3" s="75"/>
      <c r="D3" s="48">
        <f>B3</f>
        <v>0</v>
      </c>
      <c r="E3" s="38">
        <f>C3</f>
        <v>0</v>
      </c>
      <c r="F3" s="48">
        <f>IF(D4=0,0,AVERAGEIF(D4:D6,"&lt;&gt;0"))+D3</f>
        <v>35354.692639999994</v>
      </c>
      <c r="G3" s="41">
        <f>IF(E4=0,0,AVERAGEIF(E4:E6,"&lt;&gt;0"))+E3</f>
        <v>0</v>
      </c>
      <c r="H3" s="60">
        <f>SUM(F3:G3)</f>
        <v>35354.692639999994</v>
      </c>
    </row>
    <row r="4" spans="1:8" x14ac:dyDescent="0.25">
      <c r="A4" s="31">
        <v>2015</v>
      </c>
      <c r="B4" s="38">
        <v>35160</v>
      </c>
      <c r="C4" s="38"/>
      <c r="D4" s="48">
        <f>B4</f>
        <v>35160</v>
      </c>
      <c r="E4" s="38">
        <f>C4</f>
        <v>0</v>
      </c>
      <c r="F4" s="48"/>
      <c r="G4" s="41"/>
      <c r="H4" s="57"/>
    </row>
    <row r="5" spans="1:8" x14ac:dyDescent="0.25">
      <c r="A5" s="31">
        <v>2014</v>
      </c>
      <c r="B5" s="38">
        <v>35160</v>
      </c>
      <c r="C5" s="38">
        <v>30000</v>
      </c>
      <c r="D5" s="48">
        <f>B5*Pristalsregulering!$C$7</f>
        <v>35188.127999999997</v>
      </c>
      <c r="E5" s="38">
        <f>C5*Pristalsregulering!$C$7</f>
        <v>30023.999999999996</v>
      </c>
      <c r="F5" s="48"/>
      <c r="G5" s="38"/>
      <c r="H5" s="48"/>
    </row>
    <row r="6" spans="1:8" x14ac:dyDescent="0.25">
      <c r="A6" s="31">
        <v>2013</v>
      </c>
      <c r="B6" s="38">
        <v>35160</v>
      </c>
      <c r="C6" s="38"/>
      <c r="D6" s="48">
        <f>B6*Pristalsregulering!$C$7*Pristalsregulering!$C$6</f>
        <v>35715.949919999992</v>
      </c>
      <c r="E6" s="38">
        <f>C6*Pristalsregulering!$C$7*Pristalsregulering!$C$6</f>
        <v>0</v>
      </c>
      <c r="F6" s="48"/>
      <c r="G6" s="38"/>
      <c r="H6" s="48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25</v>
      </c>
      <c r="C1" s="77"/>
      <c r="D1" s="77"/>
      <c r="E1" s="78" t="s">
        <v>56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25000</v>
      </c>
      <c r="C3" s="45">
        <v>51760</v>
      </c>
      <c r="D3" s="45">
        <v>0</v>
      </c>
      <c r="E3" s="44">
        <f>B3</f>
        <v>25000</v>
      </c>
      <c r="F3" s="45">
        <f t="shared" ref="F3:G3" si="0">C3</f>
        <v>51760</v>
      </c>
      <c r="G3" s="46">
        <f t="shared" si="0"/>
        <v>0</v>
      </c>
      <c r="H3" s="47">
        <f>IF(E3=0,0,AVERAGEIF(E3:E5,"&lt;&gt;0"))+IF(F3=0,0,AVERAGEIF(F3:F5,"&lt;&gt;0"))+IF(G3=0,0,AVERAGEIF(G3:G5,"&lt;&gt;0"))</f>
        <v>66358.09106666666</v>
      </c>
    </row>
    <row r="4" spans="1:8" x14ac:dyDescent="0.25">
      <c r="A4" s="34">
        <v>2014</v>
      </c>
      <c r="B4" s="44">
        <v>21000</v>
      </c>
      <c r="C4" s="45">
        <v>39200</v>
      </c>
      <c r="D4" s="45">
        <v>0</v>
      </c>
      <c r="E4" s="44">
        <f>B4*Pristalsregulering!$C$7</f>
        <v>21016.799999999999</v>
      </c>
      <c r="F4" s="45">
        <f>C4*Pristalsregulering!$C$7</f>
        <v>39231.359999999993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23500</v>
      </c>
      <c r="C5" s="45">
        <v>37600</v>
      </c>
      <c r="D5" s="45">
        <v>0</v>
      </c>
      <c r="E5" s="44">
        <f>B5*Pristalsregulering!$C$7*Pristalsregulering!$C$6</f>
        <v>23871.581999999999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53</v>
      </c>
    </row>
    <row r="2" spans="1:2" ht="15.75" thickTop="1" x14ac:dyDescent="0.25">
      <c r="A2" s="31">
        <v>2015</v>
      </c>
      <c r="B2" s="52">
        <v>1151759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69</v>
      </c>
      <c r="C1" s="79"/>
      <c r="D1" s="80"/>
      <c r="E1" s="81" t="s">
        <v>70</v>
      </c>
      <c r="F1" s="81"/>
      <c r="G1" s="81"/>
    </row>
    <row r="2" spans="1:7" s="25" customFormat="1" ht="15.75" thickTop="1" x14ac:dyDescent="0.25">
      <c r="A2" s="72" t="s">
        <v>13</v>
      </c>
      <c r="B2" s="26" t="s">
        <v>67</v>
      </c>
      <c r="C2" s="26" t="s">
        <v>1</v>
      </c>
      <c r="D2" s="31" t="s">
        <v>68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27390583.569346726</v>
      </c>
      <c r="C3" s="41">
        <v>5428752.9122781074</v>
      </c>
      <c r="D3" s="43">
        <v>749806.66666666663</v>
      </c>
      <c r="E3" s="38">
        <f>B3*Pristalsregulering!C2*Pristalsregulering!C3*Pristalsregulering!C4*Pristalsregulering!C5*Pristalsregulering!C6*Pristalsregulering!C7</f>
        <v>29820099.984645635</v>
      </c>
      <c r="F3" s="38">
        <v>5611875.4776337473</v>
      </c>
      <c r="G3" s="38">
        <f>D3</f>
        <v>749806.66666666663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41</v>
      </c>
      <c r="C1" s="77"/>
      <c r="D1" s="77"/>
      <c r="E1" s="77"/>
      <c r="F1" s="78" t="s">
        <v>57</v>
      </c>
      <c r="G1" s="79"/>
      <c r="H1" s="79"/>
      <c r="I1" s="79"/>
      <c r="J1" s="82" t="s">
        <v>30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73</v>
      </c>
      <c r="M2" s="7" t="s">
        <v>29</v>
      </c>
      <c r="N2" s="35"/>
    </row>
    <row r="3" spans="1:14" x14ac:dyDescent="0.25">
      <c r="A3" s="31">
        <v>2015</v>
      </c>
      <c r="B3" s="48">
        <v>0</v>
      </c>
      <c r="C3" s="41">
        <v>1272370</v>
      </c>
      <c r="D3" s="41">
        <v>0</v>
      </c>
      <c r="E3" s="43">
        <v>0</v>
      </c>
      <c r="F3" s="41">
        <f>B3</f>
        <v>0</v>
      </c>
      <c r="G3" s="41">
        <f>C3</f>
        <v>1272370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1272370</v>
      </c>
      <c r="L3" s="46">
        <f>AVERAGE(H3:H5)+AVERAGE(I3:I5)</f>
        <v>0</v>
      </c>
      <c r="M3" s="47">
        <f>SUM(J3:L3)</f>
        <v>1272370</v>
      </c>
      <c r="N3" s="26"/>
    </row>
    <row r="4" spans="1:14" x14ac:dyDescent="0.25">
      <c r="A4" s="31">
        <v>2014</v>
      </c>
      <c r="B4" s="48">
        <v>0</v>
      </c>
      <c r="C4" s="41">
        <v>2742463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2744656.9704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1058148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1074879.4361759999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31</v>
      </c>
      <c r="C1" s="69" t="s">
        <v>32</v>
      </c>
      <c r="D1" s="69" t="s">
        <v>33</v>
      </c>
      <c r="E1" s="69" t="s">
        <v>34</v>
      </c>
      <c r="F1" s="69" t="s">
        <v>35</v>
      </c>
      <c r="G1" s="69" t="s">
        <v>36</v>
      </c>
      <c r="H1" s="69" t="s">
        <v>37</v>
      </c>
      <c r="I1" s="69" t="s">
        <v>38</v>
      </c>
      <c r="J1" s="69" t="s">
        <v>39</v>
      </c>
      <c r="K1" s="69" t="s">
        <v>58</v>
      </c>
      <c r="L1" s="70" t="s">
        <v>40</v>
      </c>
      <c r="M1" s="17" t="s">
        <v>29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123344</v>
      </c>
      <c r="E2" s="45">
        <v>28957</v>
      </c>
      <c r="F2" s="45">
        <v>0</v>
      </c>
      <c r="G2" s="45">
        <v>0</v>
      </c>
      <c r="H2" s="45">
        <v>444542</v>
      </c>
      <c r="I2" s="45">
        <v>0</v>
      </c>
      <c r="J2" s="45"/>
      <c r="K2" s="45"/>
      <c r="L2" s="46">
        <v>0</v>
      </c>
      <c r="M2" s="47">
        <f>SUM(B2:L2)</f>
        <v>629366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59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50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51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2016-12-08T12:50:20Z</dcterms:modified>
</cp:coreProperties>
</file>