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2" i="22" l="1"/>
  <c r="F11" i="22"/>
  <c r="G13" i="10" l="1"/>
  <c r="E12" i="2" l="1"/>
  <c r="G11" i="10" l="1"/>
  <c r="F18" i="20"/>
  <c r="F19" i="20" s="1"/>
  <c r="E15" i="2" s="1"/>
  <c r="E18" i="19" l="1"/>
  <c r="G21" i="19"/>
  <c r="G22" i="19" s="1"/>
  <c r="F68" i="11" l="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E10" i="2" l="1"/>
  <c r="E11" i="2"/>
  <c r="E10" i="15" s="1"/>
  <c r="G12" i="7"/>
  <c r="E9" i="2" l="1"/>
  <c r="E15" i="13"/>
  <c r="F11" i="11"/>
  <c r="F69" i="11"/>
  <c r="E16" i="15" l="1"/>
  <c r="G16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0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E32" i="2" l="1"/>
  <c r="G32" i="2" s="1"/>
  <c r="E18" i="2" l="1"/>
  <c r="G12" i="8" s="1"/>
  <c r="E21" i="2" s="1"/>
  <c r="G12" i="9" l="1"/>
  <c r="E13" i="15" s="1"/>
  <c r="E20" i="2"/>
  <c r="G17" i="9" l="1"/>
  <c r="E22" i="2" s="1"/>
  <c r="E23" i="2"/>
  <c r="G23" i="2" s="1"/>
  <c r="E9" i="15" s="1"/>
  <c r="G35" i="2" l="1"/>
  <c r="E12" i="15"/>
  <c r="E11" i="15"/>
  <c r="E14" i="15" l="1"/>
  <c r="G14" i="15" s="1"/>
  <c r="G17" i="15" s="1"/>
</calcChain>
</file>

<file path=xl/sharedStrings.xml><?xml version="1.0" encoding="utf-8"?>
<sst xmlns="http://schemas.openxmlformats.org/spreadsheetml/2006/main" count="474" uniqueCount="212">
  <si>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</si>
  <si>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</si>
  <si>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</si>
  <si>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</si>
  <si>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</si>
  <si>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</si>
  <si>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</si>
  <si>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</si>
  <si>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</si>
  <si>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</si>
  <si>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</si>
  <si>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</si>
  <si>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</si>
  <si>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</si>
  <si>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</si>
  <si>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</si>
  <si>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</si>
  <si>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</si>
  <si>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</si>
  <si>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</si>
  <si>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</si>
  <si>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</si>
  <si>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</si>
  <si>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</si>
  <si>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</si>
  <si>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</si>
  <si>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</si>
  <si>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</si>
  <si>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</si>
  <si>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</si>
  <si>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</si>
  <si>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</si>
  <si>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</si>
  <si>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</si>
  <si>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</si>
  <si>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</si>
  <si>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</si>
  <si>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</si>
  <si>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</si>
  <si>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</si>
  <si>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</si>
  <si>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</si>
  <si>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</si>
  <si>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</si>
  <si>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</si>
  <si>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</si>
  <si>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</si>
  <si>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</si>
  <si>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</si>
  <si>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</si>
  <si>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</si>
  <si>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</si>
  <si>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</si>
  <si>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</si>
  <si>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</si>
  <si>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</si>
  <si>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</si>
  <si>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</si>
  <si>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</si>
  <si>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</si>
  <si>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</si>
  <si>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</si>
  <si>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</si>
  <si>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</si>
  <si>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</si>
  <si>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</si>
  <si>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</si>
  <si>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</si>
  <si>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</si>
  <si>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</si>
  <si>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</si>
  <si>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</si>
  <si>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</si>
  <si>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</si>
  <si>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</si>
  <si>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</si>
  <si>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</si>
  <si>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</si>
  <si>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</si>
  <si>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</si>
  <si>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</si>
  <si>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</si>
  <si>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</si>
  <si>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</si>
  <si>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</si>
  <si>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</si>
  <si>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</si>
  <si>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</si>
  <si>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</si>
  <si>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</si>
  <si>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</si>
  <si>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</si>
  <si>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</si>
  <si>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</si>
  <si>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</si>
  <si>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</si>
  <si>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</si>
  <si>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</si>
  <si>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</si>
  <si>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</si>
  <si>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</si>
  <si>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</si>
  <si>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</si>
  <si>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</si>
  <si>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</si>
  <si>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</si>
  <si>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</si>
  <si>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</si>
  <si>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</si>
  <si>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</si>
  <si>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</si>
  <si>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</si>
  <si>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</si>
  <si>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</si>
  <si>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</si>
  <si>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</si>
  <si>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</si>
  <si>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</si>
  <si>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</si>
  <si>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</si>
  <si>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</si>
  <si>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</si>
  <si>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</si>
  <si>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</si>
  <si>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</si>
  <si>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</si>
  <si>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</si>
  <si>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</si>
  <si>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</si>
  <si>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</si>
  <si>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</si>
  <si>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</si>
  <si>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</si>
  <si>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</si>
  <si>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</si>
  <si>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</si>
  <si>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</si>
  <si>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</si>
  <si>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</si>
  <si>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</si>
  <si>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</si>
  <si>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</si>
  <si>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</si>
  <si>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</si>
  <si>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</si>
  <si>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</si>
  <si>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Jordbassin Klasse B</t>
  </si>
  <si>
    <t>Beluftningstanke, Mek/EL</t>
  </si>
  <si>
    <t>Beluftningstanke, SRO</t>
  </si>
  <si>
    <t>Strømpeforing Ø 1000 mm &lt; Ledningsnet ≤ Ø 1200 mm</t>
  </si>
  <si>
    <t>Strømpeforing Ø 1200 mm &lt; Ledningsnet ≤ Ø 1600 mm</t>
  </si>
  <si>
    <t>Rådnetanke, slam, Mek/EL</t>
  </si>
  <si>
    <t>Slutdisponering, slam - højteknologisk (slamtørring og -forbrænding), Mek/EL</t>
  </si>
  <si>
    <t>Slutdisponering, slam - højteknologisk (slamtørring og -forbrænding), SRO</t>
  </si>
  <si>
    <t>Strømpeforing Ø 200 mm &lt; Ledningsnet ≤ Ø 500 mm</t>
  </si>
  <si>
    <t>Strømpeforing Ø 500 mm &lt; Ledningsnet ≤ Ø 800 mm</t>
  </si>
  <si>
    <t>Strømpeforing Ø 800 mm &lt; Ledningsnet ≤ Ø 1000 mm</t>
  </si>
  <si>
    <t>Brønde</t>
  </si>
  <si>
    <t>Efterklaringstanke, Konstruktioner</t>
  </si>
  <si>
    <t>Arbejdsplads</t>
  </si>
  <si>
    <t>Administrationbygninger</t>
  </si>
  <si>
    <t>Køretøjer, entreprenørmaskiner</t>
  </si>
  <si>
    <t>Forklaring, Mek/EL</t>
  </si>
  <si>
    <t>Forklaring, SRO</t>
  </si>
  <si>
    <t>Indløb-/udløbsarrangement</t>
  </si>
  <si>
    <t>Sand- og fedtfang, Kontruktioner</t>
  </si>
  <si>
    <t>Slutdisponering, slam - lavteknologisk (slammineralisering), Mek/EL</t>
  </si>
  <si>
    <t>Gasdisponering, Mek/EL</t>
  </si>
  <si>
    <t>Gasdisponering, Konstruktioner</t>
  </si>
  <si>
    <t>Overbygning</t>
  </si>
  <si>
    <t>Slutdisponering, slam - højteknologisk (slamtørring og -forbrænding), Konstruktioner</t>
  </si>
  <si>
    <t>Gasdisponering - elproduktionsanlæg, Konstruktioner</t>
  </si>
  <si>
    <t>Efterklaringstanke, SRO</t>
  </si>
  <si>
    <t>Efterklaringstanke,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</si>
  <si>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</si>
  <si>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</si>
  <si>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</si>
  <si>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</si>
  <si>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</si>
  <si>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</si>
  <si>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</si>
  <si>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</si>
  <si>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Deponeringsafgifter </t>
  </si>
  <si>
    <t xml:space="preserve">Tillægsafgift på affald </t>
  </si>
  <si>
    <t xml:space="preserve">CO2-afgift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</si>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</sst>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0" fillId="0" borderId="1" xfId="0" applyNumberFormat="1" applyBorder="1" applyProtection="1"/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6" t="s">
        <v>5</v>
      </c>
      <c r="E6" s="46"/>
      <c r="F6" s="46"/>
      <c r="G6" s="46"/>
      <c r="H6" s="4"/>
      <c r="I6" s="2"/>
    </row>
    <row r="7" spans="1:9" ht="15" customHeight="1" x14ac:dyDescent="0.25">
      <c r="A7" s="2"/>
      <c r="B7" s="2"/>
      <c r="C7" s="4"/>
      <c r="D7" s="46"/>
      <c r="E7" s="46"/>
      <c r="F7" s="46"/>
      <c r="G7" s="46"/>
      <c r="H7" s="4"/>
      <c r="I7" s="2"/>
    </row>
    <row r="8" spans="1:9" ht="15.75" x14ac:dyDescent="0.25">
      <c r="A8" s="2"/>
      <c r="B8" s="2"/>
      <c r="C8" s="5"/>
      <c r="D8" s="51" t="s">
        <v>122</v>
      </c>
      <c r="E8" s="51"/>
      <c r="F8" s="51"/>
      <c r="G8" s="5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0" t="s">
        <v>6</v>
      </c>
      <c r="E11" s="50"/>
      <c r="F11" s="50"/>
      <c r="G11" s="5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1" t="s">
        <v>69</v>
      </c>
      <c r="E13" s="62"/>
      <c r="F13" s="62"/>
      <c r="G13" s="63"/>
      <c r="H13" s="2"/>
      <c r="I13" s="2"/>
    </row>
    <row r="14" spans="1:9" x14ac:dyDescent="0.25">
      <c r="A14" s="2"/>
      <c r="B14" s="2"/>
      <c r="C14" s="7" t="s">
        <v>68</v>
      </c>
      <c r="D14" s="61" t="s">
        <v>70</v>
      </c>
      <c r="E14" s="62"/>
      <c r="F14" s="62"/>
      <c r="G14" s="63"/>
      <c r="H14" s="2"/>
      <c r="I14" s="2"/>
    </row>
    <row r="15" spans="1:9" x14ac:dyDescent="0.25">
      <c r="A15" s="2"/>
      <c r="B15" s="2"/>
      <c r="C15" s="7" t="s">
        <v>8</v>
      </c>
      <c r="D15" s="52" t="s">
        <v>63</v>
      </c>
      <c r="E15" s="53"/>
      <c r="F15" s="53"/>
      <c r="G15" s="54"/>
      <c r="H15" s="2"/>
      <c r="I15" s="2"/>
    </row>
    <row r="16" spans="1:9" x14ac:dyDescent="0.25">
      <c r="A16" s="2"/>
      <c r="B16" s="2"/>
      <c r="C16" s="7" t="s">
        <v>9</v>
      </c>
      <c r="D16" s="52" t="s">
        <v>49</v>
      </c>
      <c r="E16" s="53"/>
      <c r="F16" s="53"/>
      <c r="G16" s="54"/>
      <c r="H16" s="2"/>
      <c r="I16" s="2"/>
    </row>
    <row r="17" spans="1:9" x14ac:dyDescent="0.25">
      <c r="A17" s="2"/>
      <c r="B17" s="2"/>
      <c r="C17" s="7" t="s">
        <v>10</v>
      </c>
      <c r="D17" s="55" t="s">
        <v>15</v>
      </c>
      <c r="E17" s="56"/>
      <c r="F17" s="56"/>
      <c r="G17" s="57"/>
      <c r="H17" s="2"/>
      <c r="I17" s="2"/>
    </row>
    <row r="18" spans="1:9" x14ac:dyDescent="0.25">
      <c r="A18" s="2"/>
      <c r="B18" s="2"/>
      <c r="C18" s="7" t="s">
        <v>11</v>
      </c>
      <c r="D18" s="55" t="s">
        <v>16</v>
      </c>
      <c r="E18" s="56"/>
      <c r="F18" s="56"/>
      <c r="G18" s="57"/>
      <c r="H18" s="2"/>
      <c r="I18" s="2"/>
    </row>
    <row r="19" spans="1:9" x14ac:dyDescent="0.25">
      <c r="A19" s="2"/>
      <c r="B19" s="2"/>
      <c r="C19" s="7" t="s">
        <v>12</v>
      </c>
      <c r="D19" s="58" t="s">
        <v>17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47" t="s">
        <v>75</v>
      </c>
      <c r="E20" s="48"/>
      <c r="F20" s="48"/>
      <c r="G20" s="49"/>
      <c r="H20" s="2"/>
      <c r="I20" s="2"/>
    </row>
    <row r="21" spans="1:9" x14ac:dyDescent="0.25">
      <c r="A21" s="2"/>
      <c r="B21" s="2"/>
      <c r="C21" s="7" t="s">
        <v>14</v>
      </c>
      <c r="D21" s="47" t="s">
        <v>98</v>
      </c>
      <c r="E21" s="48"/>
      <c r="F21" s="48"/>
      <c r="G21" s="49"/>
      <c r="H21" s="2"/>
      <c r="I21" s="2"/>
    </row>
    <row r="22" spans="1:9" x14ac:dyDescent="0.25">
      <c r="A22" s="2"/>
      <c r="B22" s="2"/>
      <c r="C22" s="7" t="s">
        <v>59</v>
      </c>
      <c r="D22" s="67" t="s">
        <v>142</v>
      </c>
      <c r="E22" s="68"/>
      <c r="F22" s="68"/>
      <c r="G22" s="69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7" t="s">
        <v>210</v>
      </c>
      <c r="D25" s="64" t="s">
        <v>211</v>
      </c>
      <c r="E25" s="65"/>
      <c r="F25" s="65"/>
      <c r="G25" s="66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2" t="s">
        <v>77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192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74" t="s">
        <v>78</v>
      </c>
      <c r="C9" s="75"/>
      <c r="D9" s="75"/>
      <c r="E9" s="75"/>
      <c r="F9" s="76"/>
      <c r="G9" s="12">
        <v>11761462</v>
      </c>
      <c r="H9" s="23" t="s">
        <v>4</v>
      </c>
      <c r="I9" s="2"/>
    </row>
    <row r="10" spans="1:9" x14ac:dyDescent="0.25">
      <c r="A10" s="2"/>
      <c r="B10" s="74" t="s">
        <v>79</v>
      </c>
      <c r="C10" s="75"/>
      <c r="D10" s="75"/>
      <c r="E10" s="75"/>
      <c r="F10" s="76"/>
      <c r="G10" s="12">
        <v>12539000</v>
      </c>
      <c r="H10" s="23" t="s">
        <v>4</v>
      </c>
      <c r="I10" s="2"/>
    </row>
    <row r="11" spans="1:9" x14ac:dyDescent="0.25">
      <c r="A11" s="2"/>
      <c r="B11" s="84" t="s">
        <v>193</v>
      </c>
      <c r="C11" s="85"/>
      <c r="D11" s="85"/>
      <c r="E11" s="85"/>
      <c r="F11" s="86"/>
      <c r="G11" s="21">
        <f>G9-G10</f>
        <v>-777538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9" t="s">
        <v>194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74" t="s">
        <v>80</v>
      </c>
      <c r="C15" s="75"/>
      <c r="D15" s="75"/>
      <c r="E15" s="75"/>
      <c r="F15" s="76"/>
      <c r="G15" s="12">
        <v>-2033500</v>
      </c>
      <c r="H15" s="23" t="s">
        <v>4</v>
      </c>
      <c r="I15" s="2"/>
    </row>
    <row r="16" spans="1:9" x14ac:dyDescent="0.25">
      <c r="A16" s="2"/>
      <c r="B16" s="74" t="s">
        <v>81</v>
      </c>
      <c r="C16" s="75"/>
      <c r="D16" s="75"/>
      <c r="E16" s="75"/>
      <c r="F16" s="76"/>
      <c r="G16" s="12">
        <v>-2575000</v>
      </c>
      <c r="H16" s="23" t="s">
        <v>4</v>
      </c>
      <c r="I16" s="2"/>
    </row>
    <row r="17" spans="1:9" x14ac:dyDescent="0.25">
      <c r="A17" s="2"/>
      <c r="B17" s="84" t="s">
        <v>194</v>
      </c>
      <c r="C17" s="85"/>
      <c r="D17" s="85"/>
      <c r="E17" s="85"/>
      <c r="F17" s="86"/>
      <c r="G17" s="21">
        <f>G15-G16</f>
        <v>541500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9" t="s">
        <v>195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74" t="s">
        <v>82</v>
      </c>
      <c r="C21" s="75"/>
      <c r="D21" s="75"/>
      <c r="E21" s="75"/>
      <c r="F21" s="76"/>
      <c r="G21" s="12">
        <v>3452498</v>
      </c>
      <c r="H21" s="23" t="s">
        <v>4</v>
      </c>
      <c r="I21" s="2"/>
    </row>
    <row r="22" spans="1:9" x14ac:dyDescent="0.25">
      <c r="A22" s="2"/>
      <c r="B22" s="74" t="s">
        <v>83</v>
      </c>
      <c r="C22" s="75"/>
      <c r="D22" s="75"/>
      <c r="E22" s="75"/>
      <c r="F22" s="76"/>
      <c r="G22" s="12">
        <v>2712500</v>
      </c>
      <c r="H22" s="23" t="s">
        <v>4</v>
      </c>
      <c r="I22" s="2"/>
    </row>
    <row r="23" spans="1:9" x14ac:dyDescent="0.25">
      <c r="A23" s="2"/>
      <c r="B23" s="84" t="s">
        <v>195</v>
      </c>
      <c r="C23" s="85"/>
      <c r="D23" s="85"/>
      <c r="E23" s="85"/>
      <c r="F23" s="86"/>
      <c r="G23" s="21">
        <f>G21-G22</f>
        <v>739998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9" t="s">
        <v>196</v>
      </c>
      <c r="C26" s="90"/>
      <c r="D26" s="90"/>
      <c r="E26" s="90"/>
      <c r="F26" s="90"/>
      <c r="G26" s="90"/>
      <c r="H26" s="91"/>
      <c r="I26" s="2"/>
    </row>
    <row r="27" spans="1:9" ht="29.25" customHeight="1" x14ac:dyDescent="0.25">
      <c r="A27" s="2"/>
      <c r="B27" s="71" t="s">
        <v>84</v>
      </c>
      <c r="C27" s="72"/>
      <c r="D27" s="72"/>
      <c r="E27" s="72"/>
      <c r="F27" s="73"/>
      <c r="G27" s="12">
        <v>0</v>
      </c>
      <c r="H27" s="23" t="s">
        <v>4</v>
      </c>
      <c r="I27" s="2"/>
    </row>
    <row r="28" spans="1:9" x14ac:dyDescent="0.25">
      <c r="A28" s="2"/>
      <c r="B28" s="74" t="s">
        <v>85</v>
      </c>
      <c r="C28" s="75"/>
      <c r="D28" s="75"/>
      <c r="E28" s="75"/>
      <c r="F28" s="76"/>
      <c r="G28" s="12">
        <v>0</v>
      </c>
      <c r="H28" s="23" t="s">
        <v>4</v>
      </c>
      <c r="I28" s="2"/>
    </row>
    <row r="29" spans="1:9" ht="15" customHeight="1" x14ac:dyDescent="0.25">
      <c r="A29" s="2"/>
      <c r="B29" s="89" t="s">
        <v>196</v>
      </c>
      <c r="C29" s="90"/>
      <c r="D29" s="90"/>
      <c r="E29" s="90"/>
      <c r="F29" s="91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9" t="s">
        <v>86</v>
      </c>
      <c r="C32" s="90"/>
      <c r="D32" s="90"/>
      <c r="E32" s="90"/>
      <c r="F32" s="90"/>
      <c r="G32" s="90"/>
      <c r="H32" s="91"/>
      <c r="I32" s="2"/>
    </row>
    <row r="33" spans="1:9" x14ac:dyDescent="0.25">
      <c r="A33" s="2"/>
      <c r="B33" s="74" t="s">
        <v>87</v>
      </c>
      <c r="C33" s="75"/>
      <c r="D33" s="75"/>
      <c r="E33" s="75"/>
      <c r="F33" s="76"/>
      <c r="G33" s="12">
        <f>'Fane 8. Gen. inv. i 2016'!F70</f>
        <v>2632065.2873333325</v>
      </c>
      <c r="H33" s="23" t="s">
        <v>4</v>
      </c>
      <c r="I33" s="2"/>
    </row>
    <row r="34" spans="1:9" x14ac:dyDescent="0.25">
      <c r="A34" s="2"/>
      <c r="B34" s="74" t="s">
        <v>88</v>
      </c>
      <c r="C34" s="75"/>
      <c r="D34" s="75"/>
      <c r="E34" s="75"/>
      <c r="F34" s="76"/>
      <c r="G34" s="12">
        <v>1648000</v>
      </c>
      <c r="H34" s="23" t="s">
        <v>4</v>
      </c>
      <c r="I34" s="2"/>
    </row>
    <row r="35" spans="1:9" x14ac:dyDescent="0.25">
      <c r="A35" s="2"/>
      <c r="B35" s="84" t="s">
        <v>86</v>
      </c>
      <c r="C35" s="85"/>
      <c r="D35" s="85"/>
      <c r="E35" s="85"/>
      <c r="F35" s="86"/>
      <c r="G35" s="21">
        <f>G33-G34</f>
        <v>984065.28733333247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2" t="s">
        <v>89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90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81" t="s">
        <v>91</v>
      </c>
      <c r="C9" s="82"/>
      <c r="D9" s="82"/>
      <c r="E9" s="82"/>
      <c r="F9" s="83"/>
      <c r="G9" s="18">
        <v>102569634.1796477</v>
      </c>
      <c r="H9" s="28" t="s">
        <v>4</v>
      </c>
      <c r="I9" s="2"/>
    </row>
    <row r="10" spans="1:9" x14ac:dyDescent="0.25">
      <c r="A10" s="2"/>
      <c r="B10" s="84" t="s">
        <v>92</v>
      </c>
      <c r="C10" s="85"/>
      <c r="D10" s="85"/>
      <c r="E10" s="85"/>
      <c r="F10" s="85"/>
      <c r="G10" s="85"/>
      <c r="H10" s="86"/>
      <c r="I10" s="2"/>
    </row>
    <row r="11" spans="1:9" x14ac:dyDescent="0.25">
      <c r="A11" s="2"/>
      <c r="B11" s="74" t="s">
        <v>19</v>
      </c>
      <c r="C11" s="75"/>
      <c r="D11" s="76"/>
      <c r="E11" s="12">
        <v>35915232</v>
      </c>
      <c r="F11" s="23" t="s">
        <v>4</v>
      </c>
      <c r="G11" s="20"/>
      <c r="H11" s="31"/>
      <c r="I11" s="2"/>
    </row>
    <row r="12" spans="1:9" x14ac:dyDescent="0.25">
      <c r="A12" s="2"/>
      <c r="B12" s="74" t="s">
        <v>93</v>
      </c>
      <c r="C12" s="75"/>
      <c r="D12" s="76"/>
      <c r="E12" s="12">
        <v>11570553</v>
      </c>
      <c r="F12" s="23" t="s">
        <v>4</v>
      </c>
      <c r="G12" s="15"/>
      <c r="H12" s="32"/>
      <c r="I12" s="2"/>
    </row>
    <row r="13" spans="1:9" x14ac:dyDescent="0.25">
      <c r="A13" s="2"/>
      <c r="B13" s="74" t="s">
        <v>94</v>
      </c>
      <c r="C13" s="75"/>
      <c r="D13" s="76"/>
      <c r="E13" s="12">
        <v>-954123</v>
      </c>
      <c r="F13" s="23" t="s">
        <v>4</v>
      </c>
      <c r="G13" s="15"/>
      <c r="H13" s="32"/>
      <c r="I13" s="2"/>
    </row>
    <row r="14" spans="1:9" x14ac:dyDescent="0.25">
      <c r="A14" s="2"/>
      <c r="B14" s="74" t="s">
        <v>95</v>
      </c>
      <c r="C14" s="75"/>
      <c r="D14" s="76"/>
      <c r="E14" s="12">
        <v>5408333.333333334</v>
      </c>
      <c r="F14" s="23" t="s">
        <v>4</v>
      </c>
      <c r="G14" s="15"/>
      <c r="H14" s="32"/>
      <c r="I14" s="2"/>
    </row>
    <row r="15" spans="1:9" x14ac:dyDescent="0.25">
      <c r="A15" s="2"/>
      <c r="B15" s="81" t="s">
        <v>20</v>
      </c>
      <c r="C15" s="82"/>
      <c r="D15" s="83"/>
      <c r="E15" s="18">
        <f>SUM(E11:E14)</f>
        <v>51939995.333333336</v>
      </c>
      <c r="F15" s="28" t="s">
        <v>4</v>
      </c>
      <c r="G15" s="15"/>
      <c r="H15" s="32"/>
      <c r="I15" s="2"/>
    </row>
    <row r="16" spans="1:9" x14ac:dyDescent="0.25">
      <c r="A16" s="2"/>
      <c r="B16" s="74" t="s">
        <v>21</v>
      </c>
      <c r="C16" s="75"/>
      <c r="D16" s="76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74" t="s">
        <v>22</v>
      </c>
      <c r="C17" s="75"/>
      <c r="D17" s="76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4" t="s">
        <v>23</v>
      </c>
      <c r="C18" s="75"/>
      <c r="D18" s="76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1" t="s">
        <v>24</v>
      </c>
      <c r="C19" s="82"/>
      <c r="D19" s="83"/>
      <c r="E19" s="18">
        <f>SUM(E16:E18)</f>
        <v>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1" t="s">
        <v>25</v>
      </c>
      <c r="C20" s="72"/>
      <c r="D20" s="73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1" t="s">
        <v>26</v>
      </c>
      <c r="C21" s="72"/>
      <c r="D21" s="73"/>
      <c r="E21" s="12">
        <v>-32881991</v>
      </c>
      <c r="F21" s="23" t="s">
        <v>4</v>
      </c>
      <c r="G21" s="15"/>
      <c r="H21" s="32"/>
      <c r="I21" s="2"/>
    </row>
    <row r="22" spans="1:9" x14ac:dyDescent="0.25">
      <c r="A22" s="2"/>
      <c r="B22" s="74" t="s">
        <v>27</v>
      </c>
      <c r="C22" s="75"/>
      <c r="D22" s="76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4" t="s">
        <v>28</v>
      </c>
      <c r="C23" s="75"/>
      <c r="D23" s="76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1" t="s">
        <v>29</v>
      </c>
      <c r="C24" s="72"/>
      <c r="D24" s="73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1" t="s">
        <v>30</v>
      </c>
      <c r="C25" s="72"/>
      <c r="D25" s="73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1" t="s">
        <v>31</v>
      </c>
      <c r="C26" s="72"/>
      <c r="D26" s="73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1" t="s">
        <v>32</v>
      </c>
      <c r="C27" s="82"/>
      <c r="D27" s="83"/>
      <c r="E27" s="18">
        <f>SUM(E20:E26)</f>
        <v>-32881991</v>
      </c>
      <c r="F27" s="28" t="s">
        <v>4</v>
      </c>
      <c r="G27" s="16"/>
      <c r="H27" s="33"/>
      <c r="I27" s="2"/>
    </row>
    <row r="28" spans="1:9" x14ac:dyDescent="0.25">
      <c r="A28" s="2"/>
      <c r="B28" s="81" t="s">
        <v>33</v>
      </c>
      <c r="C28" s="82"/>
      <c r="D28" s="83"/>
      <c r="E28" s="18">
        <f>E15+E19+E27</f>
        <v>19058004.333333336</v>
      </c>
      <c r="F28" s="28" t="s">
        <v>4</v>
      </c>
      <c r="G28" s="1">
        <f>IF(E28&lt;0,0,-E28)</f>
        <v>-19058004.333333336</v>
      </c>
      <c r="H28" s="28" t="s">
        <v>4</v>
      </c>
      <c r="I28" s="2"/>
    </row>
    <row r="29" spans="1:9" x14ac:dyDescent="0.25">
      <c r="A29" s="2"/>
      <c r="B29" s="84" t="s">
        <v>96</v>
      </c>
      <c r="C29" s="85"/>
      <c r="D29" s="85"/>
      <c r="E29" s="85"/>
      <c r="F29" s="85"/>
      <c r="G29" s="85"/>
      <c r="H29" s="86"/>
      <c r="I29" s="2"/>
    </row>
    <row r="30" spans="1:9" x14ac:dyDescent="0.25">
      <c r="A30" s="2"/>
      <c r="B30" s="81" t="s">
        <v>96</v>
      </c>
      <c r="C30" s="82"/>
      <c r="D30" s="83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0" t="s">
        <v>57</v>
      </c>
      <c r="C31" s="85"/>
      <c r="D31" s="85"/>
      <c r="E31" s="85"/>
      <c r="F31" s="85"/>
      <c r="G31" s="85"/>
      <c r="H31" s="86"/>
      <c r="I31" s="2"/>
    </row>
    <row r="32" spans="1:9" ht="30" customHeight="1" x14ac:dyDescent="0.25">
      <c r="A32" s="2"/>
      <c r="B32" s="71" t="s">
        <v>58</v>
      </c>
      <c r="C32" s="72"/>
      <c r="D32" s="73"/>
      <c r="E32" s="12">
        <v>91742722.920000002</v>
      </c>
      <c r="F32" s="23" t="s">
        <v>4</v>
      </c>
      <c r="G32" s="20"/>
      <c r="H32" s="31"/>
      <c r="I32" s="2"/>
    </row>
    <row r="33" spans="1:9" x14ac:dyDescent="0.25">
      <c r="A33" s="2"/>
      <c r="B33" s="74" t="s">
        <v>34</v>
      </c>
      <c r="C33" s="75"/>
      <c r="D33" s="76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1" t="s">
        <v>35</v>
      </c>
      <c r="C34" s="72"/>
      <c r="D34" s="73"/>
      <c r="E34" s="12">
        <v>39678.480000000003</v>
      </c>
      <c r="F34" s="23" t="s">
        <v>4</v>
      </c>
      <c r="G34" s="16"/>
      <c r="H34" s="33"/>
      <c r="I34" s="2"/>
    </row>
    <row r="35" spans="1:9" x14ac:dyDescent="0.25">
      <c r="A35" s="2"/>
      <c r="B35" s="81" t="s">
        <v>36</v>
      </c>
      <c r="C35" s="82"/>
      <c r="D35" s="83"/>
      <c r="E35" s="18">
        <f>SUM(E32:E34)</f>
        <v>91782401.400000006</v>
      </c>
      <c r="F35" s="28" t="s">
        <v>4</v>
      </c>
      <c r="G35" s="18">
        <f>-E35</f>
        <v>-91782401.400000006</v>
      </c>
      <c r="H35" s="28" t="s">
        <v>4</v>
      </c>
      <c r="I35" s="2"/>
    </row>
    <row r="36" spans="1:9" x14ac:dyDescent="0.25">
      <c r="A36" s="2"/>
      <c r="B36" s="84" t="s">
        <v>97</v>
      </c>
      <c r="C36" s="85"/>
      <c r="D36" s="85"/>
      <c r="E36" s="85"/>
      <c r="F36" s="86"/>
      <c r="G36" s="21">
        <f>$G$9+$G$28+$G$30+$G$35</f>
        <v>-8270771.5536856353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0" t="s">
        <v>126</v>
      </c>
      <c r="C3" s="70"/>
      <c r="D3" s="70"/>
      <c r="E3" s="70"/>
      <c r="F3" s="70"/>
      <c r="G3" s="70"/>
      <c r="H3" s="2"/>
    </row>
    <row r="4" spans="1:8" ht="15" customHeight="1" x14ac:dyDescent="0.25">
      <c r="A4" s="2"/>
      <c r="B4" s="70"/>
      <c r="C4" s="70"/>
      <c r="D4" s="70"/>
      <c r="E4" s="70"/>
      <c r="F4" s="70"/>
      <c r="G4" s="7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4" t="s">
        <v>189</v>
      </c>
      <c r="C8" s="85"/>
      <c r="D8" s="85"/>
      <c r="E8" s="85"/>
      <c r="F8" s="85"/>
      <c r="G8" s="86"/>
      <c r="H8" s="2"/>
    </row>
    <row r="9" spans="1:8" ht="29.25" customHeight="1" x14ac:dyDescent="0.25">
      <c r="A9" s="2"/>
      <c r="B9" s="77" t="s">
        <v>116</v>
      </c>
      <c r="C9" s="79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4" t="s">
        <v>190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4" t="s">
        <v>133</v>
      </c>
      <c r="C11" s="8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4" t="s">
        <v>145</v>
      </c>
      <c r="C12" s="8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4" t="s">
        <v>185</v>
      </c>
      <c r="C15" s="85"/>
      <c r="D15" s="85"/>
      <c r="E15" s="85"/>
      <c r="F15" s="85"/>
      <c r="G15" s="86"/>
      <c r="H15" s="2"/>
    </row>
    <row r="16" spans="1:8" ht="15" customHeight="1" x14ac:dyDescent="0.25">
      <c r="A16" s="2"/>
      <c r="B16" s="77" t="s">
        <v>202</v>
      </c>
      <c r="C16" s="78"/>
      <c r="D16" s="78"/>
      <c r="E16" s="79"/>
      <c r="F16" s="99" t="s">
        <v>186</v>
      </c>
      <c r="G16" s="99"/>
      <c r="H16" s="2"/>
    </row>
    <row r="17" spans="1:8" x14ac:dyDescent="0.25">
      <c r="A17" s="2"/>
      <c r="B17" s="74" t="s">
        <v>198</v>
      </c>
      <c r="C17" s="75"/>
      <c r="D17" s="75"/>
      <c r="E17" s="76"/>
      <c r="F17" s="12">
        <v>0</v>
      </c>
      <c r="G17" s="23" t="s">
        <v>4</v>
      </c>
      <c r="H17" s="2"/>
    </row>
    <row r="18" spans="1:8" x14ac:dyDescent="0.25">
      <c r="A18" s="2"/>
      <c r="B18" s="84" t="s">
        <v>187</v>
      </c>
      <c r="C18" s="85"/>
      <c r="D18" s="85"/>
      <c r="E18" s="86"/>
      <c r="F18" s="21">
        <f>SUM(F17:F17)</f>
        <v>0</v>
      </c>
      <c r="G18" s="22" t="s">
        <v>4</v>
      </c>
      <c r="H18" s="2"/>
    </row>
    <row r="19" spans="1:8" x14ac:dyDescent="0.25">
      <c r="A19" s="2"/>
      <c r="B19" s="84" t="s">
        <v>188</v>
      </c>
      <c r="C19" s="85"/>
      <c r="D19" s="85"/>
      <c r="E19" s="86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118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4" t="s">
        <v>117</v>
      </c>
      <c r="C8" s="85"/>
      <c r="D8" s="85"/>
      <c r="E8" s="85"/>
      <c r="F8" s="85"/>
      <c r="G8" s="86"/>
      <c r="H8" s="2"/>
    </row>
    <row r="9" spans="1:8" ht="29.25" customHeight="1" x14ac:dyDescent="0.25">
      <c r="A9" s="2"/>
      <c r="B9" s="34" t="s">
        <v>119</v>
      </c>
      <c r="C9" s="35"/>
      <c r="D9" s="99" t="s">
        <v>47</v>
      </c>
      <c r="E9" s="99"/>
      <c r="F9" s="99" t="s">
        <v>127</v>
      </c>
      <c r="G9" s="99"/>
      <c r="H9" s="2"/>
    </row>
    <row r="10" spans="1:8" x14ac:dyDescent="0.25">
      <c r="A10" s="2"/>
      <c r="B10" s="107" t="s">
        <v>197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4" t="s">
        <v>128</v>
      </c>
      <c r="C11" s="8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4" t="s">
        <v>144</v>
      </c>
      <c r="C12" s="8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203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4" t="s">
        <v>204</v>
      </c>
      <c r="C8" s="85"/>
      <c r="D8" s="85"/>
      <c r="E8" s="85"/>
      <c r="F8" s="85"/>
      <c r="G8" s="86"/>
      <c r="H8" s="2"/>
    </row>
    <row r="9" spans="1:8" ht="29.25" customHeight="1" x14ac:dyDescent="0.25">
      <c r="A9" s="2"/>
      <c r="B9" s="77" t="s">
        <v>205</v>
      </c>
      <c r="C9" s="78"/>
      <c r="D9" s="78"/>
      <c r="E9" s="79"/>
      <c r="F9" s="99" t="s">
        <v>47</v>
      </c>
      <c r="G9" s="99"/>
      <c r="H9" s="2"/>
    </row>
    <row r="10" spans="1:8" x14ac:dyDescent="0.25">
      <c r="A10" s="2"/>
      <c r="B10" s="104" t="s">
        <v>209</v>
      </c>
      <c r="C10" s="109"/>
      <c r="D10" s="109"/>
      <c r="E10" s="105"/>
      <c r="F10" s="12">
        <v>8625213</v>
      </c>
      <c r="G10" s="23" t="s">
        <v>4</v>
      </c>
      <c r="H10" s="2"/>
    </row>
    <row r="11" spans="1:8" x14ac:dyDescent="0.25">
      <c r="A11" s="2"/>
      <c r="B11" s="84" t="s">
        <v>206</v>
      </c>
      <c r="C11" s="85"/>
      <c r="D11" s="85"/>
      <c r="E11" s="86"/>
      <c r="F11" s="21">
        <f>SUM(F10:F10)</f>
        <v>8625213</v>
      </c>
      <c r="G11" s="22" t="s">
        <v>4</v>
      </c>
      <c r="H11" s="2"/>
    </row>
    <row r="12" spans="1:8" x14ac:dyDescent="0.25">
      <c r="A12" s="2"/>
      <c r="B12" s="84" t="s">
        <v>207</v>
      </c>
      <c r="C12" s="85"/>
      <c r="D12" s="85"/>
      <c r="E12" s="86"/>
      <c r="F12" s="21">
        <f>F11*(1+'Fane 2.1. Økonomisk ramme 2018'!E19/100)</f>
        <v>8776154.227500001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109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56</v>
      </c>
      <c r="C8" s="85"/>
      <c r="D8" s="85"/>
      <c r="E8" s="85"/>
      <c r="F8" s="85"/>
      <c r="G8" s="85"/>
      <c r="H8" s="86"/>
      <c r="I8" s="2"/>
    </row>
    <row r="9" spans="1:9" ht="15" customHeight="1" x14ac:dyDescent="0.25">
      <c r="A9" s="2"/>
      <c r="B9" s="71" t="s">
        <v>60</v>
      </c>
      <c r="C9" s="72"/>
      <c r="D9" s="73"/>
      <c r="E9" s="8">
        <f>'Fane 3. Korrigeret grundlag'!G12</f>
        <v>127918180.74495786</v>
      </c>
      <c r="F9" s="9" t="s">
        <v>4</v>
      </c>
      <c r="G9" s="10"/>
      <c r="H9" s="11"/>
      <c r="I9" s="2"/>
    </row>
    <row r="10" spans="1:9" x14ac:dyDescent="0.25">
      <c r="A10" s="2"/>
      <c r="B10" s="80" t="s">
        <v>46</v>
      </c>
      <c r="C10" s="75"/>
      <c r="D10" s="76"/>
      <c r="E10" s="12">
        <f>'Fane 3. Korrigeret grundlag'!G11</f>
        <v>15723406.333479518</v>
      </c>
      <c r="F10" s="9" t="s">
        <v>4</v>
      </c>
      <c r="G10" s="13"/>
      <c r="H10" s="14"/>
      <c r="I10" s="2"/>
    </row>
    <row r="11" spans="1:9" x14ac:dyDescent="0.25">
      <c r="A11" s="2"/>
      <c r="B11" s="80" t="s">
        <v>121</v>
      </c>
      <c r="C11" s="75"/>
      <c r="D11" s="76"/>
      <c r="E11" s="12">
        <f>'Fane 4. Ikke-påvirkelige omk.'!G22</f>
        <v>-979247.3903080012</v>
      </c>
      <c r="F11" s="9" t="s">
        <v>4</v>
      </c>
      <c r="G11" s="13"/>
      <c r="H11" s="14"/>
      <c r="I11" s="2"/>
    </row>
    <row r="12" spans="1:9" x14ac:dyDescent="0.25">
      <c r="A12" s="2"/>
      <c r="B12" s="38" t="s">
        <v>200</v>
      </c>
      <c r="C12" s="39"/>
      <c r="D12" s="40"/>
      <c r="E12" s="12">
        <f>'Fane 5. Individuelt eff.krav'!G10</f>
        <v>-1844240.3624153547</v>
      </c>
      <c r="F12" s="9" t="s">
        <v>4</v>
      </c>
      <c r="G12" s="13"/>
      <c r="H12" s="14"/>
      <c r="I12" s="2"/>
    </row>
    <row r="13" spans="1:9" x14ac:dyDescent="0.25">
      <c r="A13" s="2"/>
      <c r="B13" s="71" t="s">
        <v>129</v>
      </c>
      <c r="C13" s="72"/>
      <c r="D13" s="7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1" t="s">
        <v>130</v>
      </c>
      <c r="C14" s="72"/>
      <c r="D14" s="7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1" t="s">
        <v>185</v>
      </c>
      <c r="C15" s="72"/>
      <c r="D15" s="7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1" t="s">
        <v>131</v>
      </c>
      <c r="C16" s="72"/>
      <c r="D16" s="7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1" t="s">
        <v>132</v>
      </c>
      <c r="C17" s="72"/>
      <c r="D17" s="7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1" t="s">
        <v>208</v>
      </c>
      <c r="C18" s="72"/>
      <c r="D18" s="73"/>
      <c r="E18" s="12">
        <f>'Fane 13. Ny aktivitet'!F12</f>
        <v>8776154.227500001</v>
      </c>
      <c r="F18" s="9" t="s">
        <v>4</v>
      </c>
      <c r="G18" s="13"/>
      <c r="H18" s="14"/>
      <c r="I18" s="2"/>
    </row>
    <row r="19" spans="1:9" x14ac:dyDescent="0.25">
      <c r="A19" s="2"/>
      <c r="B19" s="38" t="s">
        <v>124</v>
      </c>
      <c r="C19" s="39"/>
      <c r="D19" s="40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0" t="s">
        <v>123</v>
      </c>
      <c r="C20" s="75"/>
      <c r="D20" s="76"/>
      <c r="E20" s="12">
        <f>SUM(E9,E11:E18)*(E19/100)</f>
        <v>2342739.8263453539</v>
      </c>
      <c r="F20" s="9" t="s">
        <v>4</v>
      </c>
      <c r="G20" s="13"/>
      <c r="H20" s="14"/>
      <c r="I20" s="2"/>
    </row>
    <row r="21" spans="1:9" x14ac:dyDescent="0.25">
      <c r="A21" s="2"/>
      <c r="B21" s="74" t="s">
        <v>15</v>
      </c>
      <c r="C21" s="75"/>
      <c r="D21" s="76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74" t="s">
        <v>16</v>
      </c>
      <c r="C22" s="75"/>
      <c r="D22" s="76"/>
      <c r="E22" s="12">
        <f>'Fane 6. Generelt eff.krav'!G17</f>
        <v>2293043.1467344202</v>
      </c>
      <c r="F22" s="9" t="s">
        <v>4</v>
      </c>
      <c r="G22" s="16"/>
      <c r="H22" s="17"/>
      <c r="I22" s="2"/>
    </row>
    <row r="23" spans="1:9" x14ac:dyDescent="0.25">
      <c r="A23" s="2"/>
      <c r="B23" s="81" t="s">
        <v>191</v>
      </c>
      <c r="C23" s="82"/>
      <c r="D23" s="83"/>
      <c r="E23" s="18">
        <f>SUM(E9,E11:E18,E20)-SUM(E21:E22)</f>
        <v>133920543.89934543</v>
      </c>
      <c r="F23" s="19" t="s">
        <v>4</v>
      </c>
      <c r="G23" s="18">
        <f>E23</f>
        <v>133920543.89934543</v>
      </c>
      <c r="H23" s="19" t="s">
        <v>4</v>
      </c>
      <c r="I23" s="2"/>
    </row>
    <row r="24" spans="1:9" x14ac:dyDescent="0.25">
      <c r="A24" s="2"/>
      <c r="B24" s="84" t="s">
        <v>17</v>
      </c>
      <c r="C24" s="85"/>
      <c r="D24" s="85"/>
      <c r="E24" s="85"/>
      <c r="F24" s="85"/>
      <c r="G24" s="85"/>
      <c r="H24" s="86"/>
      <c r="I24" s="2"/>
    </row>
    <row r="25" spans="1:9" x14ac:dyDescent="0.25">
      <c r="A25" s="2"/>
      <c r="B25" s="77" t="s">
        <v>55</v>
      </c>
      <c r="C25" s="78"/>
      <c r="D25" s="79"/>
      <c r="E25" s="18">
        <f>'Fane 7. Hist. over el. underdæk'!G13</f>
        <v>-7733433.7927689599</v>
      </c>
      <c r="F25" s="19" t="s">
        <v>4</v>
      </c>
      <c r="G25" s="18">
        <f>E25</f>
        <v>-7733433.7927689599</v>
      </c>
      <c r="H25" s="19" t="s">
        <v>4</v>
      </c>
      <c r="I25" s="2"/>
    </row>
    <row r="26" spans="1:9" x14ac:dyDescent="0.25">
      <c r="A26" s="2"/>
      <c r="B26" s="84" t="s">
        <v>98</v>
      </c>
      <c r="C26" s="85"/>
      <c r="D26" s="85"/>
      <c r="E26" s="85"/>
      <c r="F26" s="85"/>
      <c r="G26" s="85"/>
      <c r="H26" s="86"/>
      <c r="I26" s="2"/>
    </row>
    <row r="27" spans="1:9" x14ac:dyDescent="0.25">
      <c r="A27" s="2"/>
      <c r="B27" s="71" t="s">
        <v>105</v>
      </c>
      <c r="C27" s="72"/>
      <c r="D27" s="73"/>
      <c r="E27" s="12">
        <f>'Fane 9. Korrektion af PL2016'!G11</f>
        <v>-777538</v>
      </c>
      <c r="F27" s="9" t="s">
        <v>4</v>
      </c>
      <c r="G27" s="20"/>
      <c r="H27" s="11"/>
      <c r="I27" s="2"/>
    </row>
    <row r="28" spans="1:9" x14ac:dyDescent="0.25">
      <c r="A28" s="2"/>
      <c r="B28" s="71" t="s">
        <v>99</v>
      </c>
      <c r="C28" s="72"/>
      <c r="D28" s="73"/>
      <c r="E28" s="12">
        <f>'Fane 9. Korrektion af PL2016'!G17</f>
        <v>541500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1" t="s">
        <v>100</v>
      </c>
      <c r="C29" s="72"/>
      <c r="D29" s="73"/>
      <c r="E29" s="12">
        <f>'Fane 9. Korrektion af PL2016'!G23</f>
        <v>739998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1" t="s">
        <v>101</v>
      </c>
      <c r="C30" s="72"/>
      <c r="D30" s="73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1" t="s">
        <v>102</v>
      </c>
      <c r="C31" s="72"/>
      <c r="D31" s="73"/>
      <c r="E31" s="12">
        <f>'Fane 9. Korrektion af PL2016'!G35</f>
        <v>984065.28733333247</v>
      </c>
      <c r="F31" s="9" t="s">
        <v>4</v>
      </c>
      <c r="G31" s="15"/>
      <c r="H31" s="14"/>
      <c r="I31" s="2"/>
    </row>
    <row r="32" spans="1:9" x14ac:dyDescent="0.25">
      <c r="A32" s="2"/>
      <c r="B32" s="77" t="s">
        <v>103</v>
      </c>
      <c r="C32" s="78"/>
      <c r="D32" s="79"/>
      <c r="E32" s="18">
        <f>SUM(E27:E31)</f>
        <v>1488025.2873333325</v>
      </c>
      <c r="F32" s="19" t="s">
        <v>4</v>
      </c>
      <c r="G32" s="18">
        <f>E32</f>
        <v>1488025.2873333325</v>
      </c>
      <c r="H32" s="19" t="s">
        <v>4</v>
      </c>
      <c r="I32" s="2"/>
    </row>
    <row r="33" spans="1:9" x14ac:dyDescent="0.25">
      <c r="A33" s="2"/>
      <c r="B33" s="84" t="s">
        <v>18</v>
      </c>
      <c r="C33" s="85"/>
      <c r="D33" s="85"/>
      <c r="E33" s="85"/>
      <c r="F33" s="85"/>
      <c r="G33" s="85"/>
      <c r="H33" s="86"/>
      <c r="I33" s="2"/>
    </row>
    <row r="34" spans="1:9" x14ac:dyDescent="0.25">
      <c r="A34" s="2"/>
      <c r="B34" s="77" t="s">
        <v>104</v>
      </c>
      <c r="C34" s="78"/>
      <c r="D34" s="79"/>
      <c r="E34" s="18">
        <f>'Fane 10. Kontrol af PL2016'!G36</f>
        <v>-8270771.5536856353</v>
      </c>
      <c r="F34" s="19" t="s">
        <v>4</v>
      </c>
      <c r="G34" s="18">
        <f>E34</f>
        <v>-8270771.5536856353</v>
      </c>
      <c r="H34" s="19" t="s">
        <v>4</v>
      </c>
      <c r="I34" s="2"/>
    </row>
    <row r="35" spans="1:9" x14ac:dyDescent="0.25">
      <c r="A35" s="2"/>
      <c r="B35" s="84" t="s">
        <v>62</v>
      </c>
      <c r="C35" s="85"/>
      <c r="D35" s="85"/>
      <c r="E35" s="85"/>
      <c r="F35" s="86"/>
      <c r="G35" s="21">
        <f>G23+G25+G32+G34</f>
        <v>119404363.84022418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108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56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71" t="s">
        <v>106</v>
      </c>
      <c r="C9" s="72"/>
      <c r="D9" s="73"/>
      <c r="E9" s="8">
        <f>'Fane 2.1. Økonomisk ramme 2018'!G23</f>
        <v>133920543.89934543</v>
      </c>
      <c r="F9" s="9" t="s">
        <v>4</v>
      </c>
      <c r="G9" s="10"/>
      <c r="H9" s="11"/>
      <c r="I9" s="2"/>
    </row>
    <row r="10" spans="1:9" x14ac:dyDescent="0.25">
      <c r="A10" s="2"/>
      <c r="B10" s="80" t="s">
        <v>46</v>
      </c>
      <c r="C10" s="87"/>
      <c r="D10" s="88"/>
      <c r="E10" s="12">
        <f>(SUM('Fane 2.1. Økonomisk ramme 2018'!E10:E11,'Fane 2.1. Økonomisk ramme 2018'!E15))*(1+'Fane 2.1. Økonomisk ramme 2018'!E19/100)</f>
        <v>15002181.724677019</v>
      </c>
      <c r="F10" s="9" t="s">
        <v>4</v>
      </c>
      <c r="G10" s="13"/>
      <c r="H10" s="14"/>
      <c r="I10" s="2"/>
    </row>
    <row r="11" spans="1:9" x14ac:dyDescent="0.25">
      <c r="A11" s="2"/>
      <c r="B11" s="74" t="s">
        <v>61</v>
      </c>
      <c r="C11" s="75"/>
      <c r="D11" s="76"/>
      <c r="E11" s="12">
        <f>$E$9*'Fane 2.1. Økonomisk ramme 2018'!E19/100</f>
        <v>2343609.5182385449</v>
      </c>
      <c r="F11" s="9" t="s">
        <v>4</v>
      </c>
      <c r="G11" s="15"/>
      <c r="H11" s="14"/>
      <c r="I11" s="2"/>
    </row>
    <row r="12" spans="1:9" x14ac:dyDescent="0.25">
      <c r="A12" s="2"/>
      <c r="B12" s="74" t="s">
        <v>15</v>
      </c>
      <c r="C12" s="75"/>
      <c r="D12" s="76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1" t="s">
        <v>16</v>
      </c>
      <c r="C13" s="39"/>
      <c r="D13" s="40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2288966.4114264324</v>
      </c>
      <c r="F13" s="9" t="s">
        <v>4</v>
      </c>
      <c r="G13" s="16"/>
      <c r="H13" s="17"/>
      <c r="I13" s="2"/>
    </row>
    <row r="14" spans="1:9" x14ac:dyDescent="0.25">
      <c r="A14" s="2"/>
      <c r="B14" s="81" t="s">
        <v>191</v>
      </c>
      <c r="C14" s="82"/>
      <c r="D14" s="83"/>
      <c r="E14" s="18">
        <f>$E$9+$E$11-$E$12-$E$13</f>
        <v>133975187.00615755</v>
      </c>
      <c r="F14" s="19" t="s">
        <v>4</v>
      </c>
      <c r="G14" s="18">
        <f>E14</f>
        <v>133975187.00615755</v>
      </c>
      <c r="H14" s="19" t="s">
        <v>4</v>
      </c>
      <c r="I14" s="2"/>
    </row>
    <row r="15" spans="1:9" x14ac:dyDescent="0.25">
      <c r="A15" s="2"/>
      <c r="B15" s="84" t="s">
        <v>17</v>
      </c>
      <c r="C15" s="85"/>
      <c r="D15" s="85"/>
      <c r="E15" s="85"/>
      <c r="F15" s="85"/>
      <c r="G15" s="85"/>
      <c r="H15" s="86"/>
      <c r="I15" s="2"/>
    </row>
    <row r="16" spans="1:9" ht="15" customHeight="1" x14ac:dyDescent="0.25">
      <c r="A16" s="2"/>
      <c r="B16" s="77" t="s">
        <v>55</v>
      </c>
      <c r="C16" s="78"/>
      <c r="D16" s="79"/>
      <c r="E16" s="18">
        <f>IF('Fane 7. Hist. over el. underdæk'!$G$12&gt;1,'Fane 7. Hist. over el. underdæk'!$G$13,0)</f>
        <v>-7733433.7927689599</v>
      </c>
      <c r="F16" s="19" t="s">
        <v>4</v>
      </c>
      <c r="G16" s="18">
        <f>E16</f>
        <v>-7733433.7927689599</v>
      </c>
      <c r="H16" s="19" t="s">
        <v>4</v>
      </c>
      <c r="I16" s="2"/>
    </row>
    <row r="17" spans="1:9" x14ac:dyDescent="0.25">
      <c r="A17" s="2"/>
      <c r="B17" s="84" t="s">
        <v>107</v>
      </c>
      <c r="C17" s="85"/>
      <c r="D17" s="85"/>
      <c r="E17" s="85"/>
      <c r="F17" s="86"/>
      <c r="G17" s="21">
        <f>G14+G16</f>
        <v>126241753.21338859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139</v>
      </c>
      <c r="C3" s="92"/>
      <c r="D3" s="92"/>
      <c r="E3" s="92"/>
      <c r="F3" s="92"/>
      <c r="G3" s="92"/>
      <c r="H3" s="92"/>
      <c r="I3" s="2"/>
    </row>
    <row r="4" spans="1:9" ht="29.2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141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74" t="s">
        <v>110</v>
      </c>
      <c r="C9" s="75"/>
      <c r="D9" s="75"/>
      <c r="E9" s="75"/>
      <c r="F9" s="76"/>
      <c r="G9" s="12">
        <v>53338674.913534649</v>
      </c>
      <c r="H9" s="23" t="s">
        <v>4</v>
      </c>
      <c r="I9" s="2"/>
    </row>
    <row r="10" spans="1:9" x14ac:dyDescent="0.25">
      <c r="A10" s="2"/>
      <c r="B10" s="74" t="s">
        <v>111</v>
      </c>
      <c r="C10" s="75"/>
      <c r="D10" s="75"/>
      <c r="E10" s="75"/>
      <c r="F10" s="76"/>
      <c r="G10" s="12">
        <v>58856099.497943684</v>
      </c>
      <c r="H10" s="23" t="s">
        <v>4</v>
      </c>
      <c r="I10" s="2"/>
    </row>
    <row r="11" spans="1:9" x14ac:dyDescent="0.25">
      <c r="A11" s="2"/>
      <c r="B11" s="74" t="s">
        <v>138</v>
      </c>
      <c r="C11" s="75"/>
      <c r="D11" s="75"/>
      <c r="E11" s="75"/>
      <c r="F11" s="76"/>
      <c r="G11" s="12">
        <v>15723406.333479518</v>
      </c>
      <c r="H11" s="23" t="s">
        <v>4</v>
      </c>
      <c r="I11" s="2"/>
    </row>
    <row r="12" spans="1:9" ht="17.25" customHeight="1" x14ac:dyDescent="0.25">
      <c r="A12" s="2"/>
      <c r="B12" s="89" t="s">
        <v>143</v>
      </c>
      <c r="C12" s="90"/>
      <c r="D12" s="90"/>
      <c r="E12" s="90"/>
      <c r="F12" s="91"/>
      <c r="G12" s="21">
        <f>SUM(G9:G11)</f>
        <v>127918180.74495786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112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113</v>
      </c>
      <c r="C8" s="85"/>
      <c r="D8" s="85"/>
      <c r="E8" s="85"/>
      <c r="F8" s="85"/>
      <c r="G8" s="85"/>
      <c r="H8" s="86"/>
      <c r="I8" s="2"/>
    </row>
    <row r="9" spans="1:9" ht="51.75" customHeight="1" x14ac:dyDescent="0.25">
      <c r="A9" s="2"/>
      <c r="B9" s="77" t="s">
        <v>115</v>
      </c>
      <c r="C9" s="78"/>
      <c r="D9" s="79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4" t="s">
        <v>174</v>
      </c>
      <c r="C10" s="75"/>
      <c r="D10" s="75"/>
      <c r="E10" s="101">
        <v>232981.29399999999</v>
      </c>
      <c r="F10" s="23" t="s">
        <v>4</v>
      </c>
      <c r="G10" s="12">
        <v>235708</v>
      </c>
      <c r="H10" s="23" t="s">
        <v>4</v>
      </c>
      <c r="I10" s="2"/>
    </row>
    <row r="11" spans="1:9" x14ac:dyDescent="0.25">
      <c r="A11" s="2"/>
      <c r="B11" s="74" t="s">
        <v>175</v>
      </c>
      <c r="C11" s="75"/>
      <c r="D11" s="75"/>
      <c r="E11" s="101">
        <v>1205060.3033999999</v>
      </c>
      <c r="F11" s="23" t="s">
        <v>4</v>
      </c>
      <c r="G11" s="12">
        <v>1197560</v>
      </c>
      <c r="H11" s="23" t="s">
        <v>4</v>
      </c>
      <c r="I11" s="2"/>
    </row>
    <row r="12" spans="1:9" x14ac:dyDescent="0.25">
      <c r="A12" s="2"/>
      <c r="B12" s="74" t="s">
        <v>176</v>
      </c>
      <c r="C12" s="75"/>
      <c r="D12" s="75"/>
      <c r="E12" s="101">
        <v>2809969.3856000002</v>
      </c>
      <c r="F12" s="23" t="s">
        <v>4</v>
      </c>
      <c r="G12" s="12">
        <v>1943779</v>
      </c>
      <c r="H12" s="23" t="s">
        <v>4</v>
      </c>
      <c r="I12" s="2"/>
    </row>
    <row r="13" spans="1:9" x14ac:dyDescent="0.25">
      <c r="A13" s="2"/>
      <c r="B13" s="74" t="s">
        <v>177</v>
      </c>
      <c r="C13" s="75"/>
      <c r="D13" s="75"/>
      <c r="E13" s="101">
        <v>32399.4126</v>
      </c>
      <c r="F13" s="23" t="s">
        <v>4</v>
      </c>
      <c r="G13" s="12">
        <v>217875</v>
      </c>
      <c r="H13" s="23" t="s">
        <v>4</v>
      </c>
      <c r="I13" s="2"/>
    </row>
    <row r="14" spans="1:9" x14ac:dyDescent="0.25">
      <c r="A14" s="2"/>
      <c r="B14" s="74" t="s">
        <v>178</v>
      </c>
      <c r="C14" s="75"/>
      <c r="D14" s="75"/>
      <c r="E14" s="101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4" t="s">
        <v>179</v>
      </c>
      <c r="C15" s="75"/>
      <c r="D15" s="75"/>
      <c r="E15" s="101">
        <v>8442423.4174000006</v>
      </c>
      <c r="F15" s="23" t="s">
        <v>4</v>
      </c>
      <c r="G15" s="12">
        <v>5398421</v>
      </c>
      <c r="H15" s="23" t="s">
        <v>4</v>
      </c>
      <c r="I15" s="2"/>
    </row>
    <row r="16" spans="1:9" x14ac:dyDescent="0.25">
      <c r="A16" s="2"/>
      <c r="B16" s="74" t="s">
        <v>180</v>
      </c>
      <c r="C16" s="75"/>
      <c r="D16" s="75"/>
      <c r="E16" s="101">
        <v>1375760.1695999999</v>
      </c>
      <c r="F16" s="23" t="s">
        <v>4</v>
      </c>
      <c r="G16" s="12">
        <v>1155619</v>
      </c>
      <c r="H16" s="23" t="s">
        <v>4</v>
      </c>
      <c r="I16" s="2"/>
    </row>
    <row r="17" spans="1:9" x14ac:dyDescent="0.25">
      <c r="A17" s="2"/>
      <c r="B17" s="74" t="s">
        <v>181</v>
      </c>
      <c r="C17" s="75"/>
      <c r="D17" s="75"/>
      <c r="E17" s="101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1" t="s">
        <v>182</v>
      </c>
      <c r="C18" s="72"/>
      <c r="D18" s="73"/>
      <c r="E18" s="101">
        <f>1433075*0.9962</f>
        <v>1427629.3149999999</v>
      </c>
      <c r="F18" s="23" t="s">
        <v>4</v>
      </c>
      <c r="G18" s="12">
        <v>924350</v>
      </c>
      <c r="H18" s="23" t="s">
        <v>4</v>
      </c>
      <c r="I18" s="2"/>
    </row>
    <row r="19" spans="1:9" x14ac:dyDescent="0.25">
      <c r="A19" s="2"/>
      <c r="B19" s="102" t="s">
        <v>183</v>
      </c>
      <c r="C19" s="102"/>
      <c r="D19" s="102"/>
      <c r="E19" s="36">
        <v>0</v>
      </c>
      <c r="F19" s="23" t="s">
        <v>4</v>
      </c>
      <c r="G19" s="101">
        <v>2990506</v>
      </c>
      <c r="H19" s="23" t="s">
        <v>4</v>
      </c>
      <c r="I19" s="2"/>
    </row>
    <row r="20" spans="1:9" x14ac:dyDescent="0.25">
      <c r="A20" s="2"/>
      <c r="B20" s="102" t="s">
        <v>184</v>
      </c>
      <c r="C20" s="102"/>
      <c r="D20" s="102"/>
      <c r="E20" s="36">
        <v>0</v>
      </c>
      <c r="F20" s="23" t="s">
        <v>4</v>
      </c>
      <c r="G20" s="101">
        <v>500000</v>
      </c>
      <c r="H20" s="23" t="s">
        <v>4</v>
      </c>
      <c r="I20" s="2"/>
    </row>
    <row r="21" spans="1:9" x14ac:dyDescent="0.25">
      <c r="A21" s="2"/>
      <c r="B21" s="84" t="s">
        <v>134</v>
      </c>
      <c r="C21" s="85"/>
      <c r="D21" s="85"/>
      <c r="E21" s="85"/>
      <c r="F21" s="86"/>
      <c r="G21" s="21">
        <f>SUM(G10:G20)-SUM(E10:E20)</f>
        <v>-962405.2976000011</v>
      </c>
      <c r="H21" s="22" t="s">
        <v>4</v>
      </c>
      <c r="I21" s="2"/>
    </row>
    <row r="22" spans="1:9" x14ac:dyDescent="0.25">
      <c r="A22" s="2"/>
      <c r="B22" s="84" t="s">
        <v>135</v>
      </c>
      <c r="C22" s="85"/>
      <c r="D22" s="85"/>
      <c r="E22" s="85"/>
      <c r="F22" s="86"/>
      <c r="G22" s="21">
        <f>G21*(1+'Fane 2.1. Økonomisk ramme 2018'!E19/100)</f>
        <v>-979247.3903080012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71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15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74" t="s">
        <v>51</v>
      </c>
      <c r="C9" s="75"/>
      <c r="D9" s="75"/>
      <c r="E9" s="75"/>
      <c r="F9" s="76"/>
      <c r="G9" s="12">
        <f>'Fane 3. Korrigeret grundlag'!G12-'Fane 3. Korrigeret grundlag'!G11+SUM('Fane 2.1. Økonomisk ramme 2018'!E13:E14,'Fane 2.1. Økonomisk ramme 2018'!E16:E18)</f>
        <v>120970928.63897835</v>
      </c>
      <c r="H9" s="23" t="s">
        <v>4</v>
      </c>
      <c r="I9" s="2"/>
    </row>
    <row r="10" spans="1:9" x14ac:dyDescent="0.25">
      <c r="A10" s="2"/>
      <c r="B10" s="41" t="s">
        <v>200</v>
      </c>
      <c r="C10" s="39"/>
      <c r="D10" s="39"/>
      <c r="E10" s="39"/>
      <c r="F10" s="40"/>
      <c r="G10" s="12">
        <v>-1844240.3624153547</v>
      </c>
      <c r="H10" s="23" t="s">
        <v>4</v>
      </c>
      <c r="I10" s="2"/>
    </row>
    <row r="11" spans="1:9" x14ac:dyDescent="0.25">
      <c r="A11" s="2"/>
      <c r="B11" s="74" t="s">
        <v>37</v>
      </c>
      <c r="C11" s="75"/>
      <c r="D11" s="75"/>
      <c r="E11" s="75"/>
      <c r="F11" s="76"/>
      <c r="G11" s="26">
        <v>0</v>
      </c>
      <c r="H11" s="23" t="s">
        <v>38</v>
      </c>
      <c r="I11" s="2"/>
    </row>
    <row r="12" spans="1:9" x14ac:dyDescent="0.25">
      <c r="A12" s="2"/>
      <c r="B12" s="84" t="s">
        <v>15</v>
      </c>
      <c r="C12" s="85"/>
      <c r="D12" s="85"/>
      <c r="E12" s="85"/>
      <c r="F12" s="86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72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53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93" t="s">
        <v>47</v>
      </c>
      <c r="C9" s="94"/>
      <c r="D9" s="94"/>
      <c r="E9" s="94"/>
      <c r="F9" s="95"/>
      <c r="G9" s="12">
        <f>'Fane 3. Korrigeret grundlag'!G9+(SUM('Fane 2.1. Økonomisk ramme 2018'!E13,'Fane 2.1. Økonomisk ramme 2018'!E16,'Fane 2.1. Økonomisk ramme 2018'!E18))</f>
        <v>62114829.141034648</v>
      </c>
      <c r="H9" s="23" t="s">
        <v>4</v>
      </c>
      <c r="I9" s="2"/>
    </row>
    <row r="10" spans="1:9" x14ac:dyDescent="0.25">
      <c r="A10" s="2"/>
      <c r="B10" s="42" t="s">
        <v>199</v>
      </c>
      <c r="C10" s="43"/>
      <c r="D10" s="43"/>
      <c r="E10" s="43"/>
      <c r="F10" s="44"/>
      <c r="G10" s="12">
        <v>-1056303.58</v>
      </c>
      <c r="H10" s="23" t="s">
        <v>4</v>
      </c>
      <c r="I10" s="2"/>
    </row>
    <row r="11" spans="1:9" x14ac:dyDescent="0.25">
      <c r="A11" s="2"/>
      <c r="B11" s="74" t="s">
        <v>16</v>
      </c>
      <c r="C11" s="75"/>
      <c r="D11" s="75"/>
      <c r="E11" s="75"/>
      <c r="F11" s="76"/>
      <c r="G11" s="27">
        <f>2</f>
        <v>2</v>
      </c>
      <c r="H11" s="23" t="s">
        <v>38</v>
      </c>
      <c r="I11" s="2"/>
    </row>
    <row r="12" spans="1:9" x14ac:dyDescent="0.25">
      <c r="A12" s="2"/>
      <c r="B12" s="81" t="s">
        <v>39</v>
      </c>
      <c r="C12" s="82"/>
      <c r="D12" s="82"/>
      <c r="E12" s="82"/>
      <c r="F12" s="83"/>
      <c r="G12" s="18">
        <f>($G$9+$G$10)*(1+'Fane 2.1. Økonomisk ramme 2018'!E19/100)*$G$11/100</f>
        <v>1242540.9951670552</v>
      </c>
      <c r="H12" s="28" t="s">
        <v>4</v>
      </c>
      <c r="I12" s="2"/>
    </row>
    <row r="13" spans="1:9" x14ac:dyDescent="0.25">
      <c r="A13" s="2"/>
      <c r="B13" s="74" t="s">
        <v>48</v>
      </c>
      <c r="C13" s="75"/>
      <c r="D13" s="75"/>
      <c r="E13" s="75"/>
      <c r="F13" s="76"/>
      <c r="G13" s="12">
        <f xml:space="preserve"> 'Fane 3. Korrigeret grundlag'!G10+SUM('Fane 2.1. Økonomisk ramme 2018'!E14,'Fane 2.1. Økonomisk ramme 2018'!E17)</f>
        <v>58856099.497943684</v>
      </c>
      <c r="H13" s="23" t="s">
        <v>4</v>
      </c>
      <c r="I13" s="2"/>
    </row>
    <row r="14" spans="1:9" x14ac:dyDescent="0.25">
      <c r="A14" s="2"/>
      <c r="B14" s="41" t="s">
        <v>201</v>
      </c>
      <c r="C14" s="39"/>
      <c r="D14" s="39"/>
      <c r="E14" s="39"/>
      <c r="F14" s="40"/>
      <c r="G14" s="12">
        <v>-526464.07449999999</v>
      </c>
      <c r="H14" s="23" t="s">
        <v>4</v>
      </c>
      <c r="I14" s="2"/>
    </row>
    <row r="15" spans="1:9" x14ac:dyDescent="0.25">
      <c r="A15" s="2"/>
      <c r="B15" s="74" t="s">
        <v>16</v>
      </c>
      <c r="C15" s="75"/>
      <c r="D15" s="75"/>
      <c r="E15" s="75"/>
      <c r="F15" s="76"/>
      <c r="G15" s="26">
        <v>1.77</v>
      </c>
      <c r="H15" s="23" t="s">
        <v>38</v>
      </c>
      <c r="I15" s="2"/>
    </row>
    <row r="16" spans="1:9" x14ac:dyDescent="0.25">
      <c r="A16" s="2"/>
      <c r="B16" s="81" t="s">
        <v>40</v>
      </c>
      <c r="C16" s="82"/>
      <c r="D16" s="82"/>
      <c r="E16" s="82"/>
      <c r="F16" s="83"/>
      <c r="G16" s="18">
        <f>($G$13+$G$14)*(1+'Fane 2.1. Økonomisk ramme 2018'!E19/100)*$G$15/100</f>
        <v>1050502.151567365</v>
      </c>
      <c r="H16" s="28" t="s">
        <v>4</v>
      </c>
      <c r="I16" s="2"/>
    </row>
    <row r="17" spans="1:9" x14ac:dyDescent="0.25">
      <c r="A17" s="2"/>
      <c r="B17" s="84" t="s">
        <v>52</v>
      </c>
      <c r="C17" s="85"/>
      <c r="D17" s="85"/>
      <c r="E17" s="85"/>
      <c r="F17" s="86"/>
      <c r="G17" s="21">
        <f>G12+G16</f>
        <v>2293043.1467344202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0" t="s">
        <v>73</v>
      </c>
      <c r="C3" s="70"/>
      <c r="D3" s="70"/>
      <c r="E3" s="70"/>
      <c r="F3" s="70"/>
      <c r="G3" s="70"/>
      <c r="H3" s="70"/>
      <c r="I3" s="2"/>
    </row>
    <row r="4" spans="1:9" ht="15" customHeight="1" x14ac:dyDescent="0.25">
      <c r="A4" s="2"/>
      <c r="B4" s="70"/>
      <c r="C4" s="70"/>
      <c r="D4" s="70"/>
      <c r="E4" s="70"/>
      <c r="F4" s="70"/>
      <c r="G4" s="70"/>
      <c r="H4" s="7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4" t="s">
        <v>54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74" t="s">
        <v>42</v>
      </c>
      <c r="C9" s="75"/>
      <c r="D9" s="75"/>
      <c r="E9" s="75"/>
      <c r="F9" s="76"/>
      <c r="G9" s="12">
        <v>-76368462</v>
      </c>
      <c r="H9" s="23" t="s">
        <v>4</v>
      </c>
      <c r="I9" s="2"/>
    </row>
    <row r="10" spans="1:9" x14ac:dyDescent="0.25">
      <c r="A10" s="2"/>
      <c r="B10" s="74" t="s">
        <v>120</v>
      </c>
      <c r="C10" s="75"/>
      <c r="D10" s="75"/>
      <c r="E10" s="75"/>
      <c r="F10" s="76"/>
      <c r="G10" s="12">
        <v>-53168160.621693119</v>
      </c>
      <c r="H10" s="23" t="s">
        <v>4</v>
      </c>
      <c r="I10" s="2"/>
    </row>
    <row r="11" spans="1:9" x14ac:dyDescent="0.25">
      <c r="A11" s="2"/>
      <c r="B11" s="96" t="s">
        <v>45</v>
      </c>
      <c r="C11" s="97"/>
      <c r="D11" s="97"/>
      <c r="E11" s="97"/>
      <c r="F11" s="98"/>
      <c r="G11" s="37">
        <f>G9-G10</f>
        <v>-23200301.378306881</v>
      </c>
      <c r="H11" s="29" t="s">
        <v>4</v>
      </c>
      <c r="I11" s="2"/>
    </row>
    <row r="12" spans="1:9" x14ac:dyDescent="0.25">
      <c r="A12" s="2"/>
      <c r="B12" s="74" t="s">
        <v>43</v>
      </c>
      <c r="C12" s="75"/>
      <c r="D12" s="75"/>
      <c r="E12" s="75"/>
      <c r="F12" s="76"/>
      <c r="G12" s="12">
        <v>3</v>
      </c>
      <c r="H12" s="23" t="s">
        <v>125</v>
      </c>
      <c r="I12" s="2"/>
    </row>
    <row r="13" spans="1:9" x14ac:dyDescent="0.25">
      <c r="A13" s="2"/>
      <c r="B13" s="84" t="s">
        <v>41</v>
      </c>
      <c r="C13" s="85"/>
      <c r="D13" s="85"/>
      <c r="E13" s="85"/>
      <c r="F13" s="86"/>
      <c r="G13" s="21">
        <f>IF(G12 = 0,0,G11/G12)</f>
        <v>-7733433.7927689599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0" t="s">
        <v>74</v>
      </c>
      <c r="C3" s="70"/>
      <c r="D3" s="70"/>
      <c r="E3" s="70"/>
      <c r="F3" s="70"/>
      <c r="G3" s="70"/>
      <c r="H3" s="2"/>
    </row>
    <row r="4" spans="1:8" ht="15" customHeight="1" x14ac:dyDescent="0.25">
      <c r="A4" s="2"/>
      <c r="B4" s="70"/>
      <c r="C4" s="70"/>
      <c r="D4" s="70"/>
      <c r="E4" s="70"/>
      <c r="F4" s="70"/>
      <c r="G4" s="7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4" t="s">
        <v>75</v>
      </c>
      <c r="C8" s="85"/>
      <c r="D8" s="85"/>
      <c r="E8" s="85"/>
      <c r="F8" s="85"/>
      <c r="G8" s="86"/>
      <c r="H8" s="2"/>
    </row>
    <row r="9" spans="1:8" ht="39" customHeight="1" x14ac:dyDescent="0.25">
      <c r="A9" s="2"/>
      <c r="B9" s="45" t="s">
        <v>0</v>
      </c>
      <c r="C9" s="19" t="s">
        <v>1</v>
      </c>
      <c r="D9" s="45" t="s">
        <v>2</v>
      </c>
      <c r="E9" s="45" t="s">
        <v>44</v>
      </c>
      <c r="F9" s="99" t="s">
        <v>3</v>
      </c>
      <c r="G9" s="99"/>
      <c r="H9" s="2"/>
    </row>
    <row r="10" spans="1:8" x14ac:dyDescent="0.25">
      <c r="A10" s="2"/>
      <c r="B10" s="103" t="s">
        <v>146</v>
      </c>
      <c r="C10" s="30">
        <v>2016</v>
      </c>
      <c r="D10" s="30">
        <v>50</v>
      </c>
      <c r="E10" s="12">
        <v>1051334</v>
      </c>
      <c r="F10" s="12">
        <f>E10/D10</f>
        <v>21026.68</v>
      </c>
      <c r="G10" s="23" t="s">
        <v>4</v>
      </c>
      <c r="H10" s="2"/>
    </row>
    <row r="11" spans="1:8" x14ac:dyDescent="0.25">
      <c r="A11" s="2"/>
      <c r="B11" s="103" t="s">
        <v>146</v>
      </c>
      <c r="C11" s="30">
        <v>2016</v>
      </c>
      <c r="D11" s="30">
        <v>50</v>
      </c>
      <c r="E11" s="12">
        <v>848062.97</v>
      </c>
      <c r="F11" s="12">
        <f t="shared" ref="F11:F69" si="0">E11/D11</f>
        <v>16961.259399999999</v>
      </c>
      <c r="G11" s="23" t="s">
        <v>4</v>
      </c>
      <c r="H11" s="2"/>
    </row>
    <row r="12" spans="1:8" x14ac:dyDescent="0.25">
      <c r="A12" s="2"/>
      <c r="B12" s="103" t="s">
        <v>147</v>
      </c>
      <c r="C12" s="30">
        <v>2016</v>
      </c>
      <c r="D12" s="30">
        <v>20</v>
      </c>
      <c r="E12" s="12">
        <v>4684878.7699999996</v>
      </c>
      <c r="F12" s="12">
        <f t="shared" si="0"/>
        <v>234243.93849999999</v>
      </c>
      <c r="G12" s="23" t="s">
        <v>4</v>
      </c>
      <c r="H12" s="2"/>
    </row>
    <row r="13" spans="1:8" x14ac:dyDescent="0.25">
      <c r="A13" s="2"/>
      <c r="B13" s="103" t="s">
        <v>148</v>
      </c>
      <c r="C13" s="30">
        <v>2016</v>
      </c>
      <c r="D13" s="30">
        <v>10</v>
      </c>
      <c r="E13" s="12">
        <v>520542.09</v>
      </c>
      <c r="F13" s="12">
        <f t="shared" si="0"/>
        <v>52054.209000000003</v>
      </c>
      <c r="G13" s="23" t="s">
        <v>4</v>
      </c>
      <c r="H13" s="2"/>
    </row>
    <row r="14" spans="1:8" ht="26.25" x14ac:dyDescent="0.25">
      <c r="A14" s="2"/>
      <c r="B14" s="103" t="s">
        <v>149</v>
      </c>
      <c r="C14" s="30">
        <v>2016</v>
      </c>
      <c r="D14" s="30">
        <v>50</v>
      </c>
      <c r="E14" s="12">
        <v>669601.66</v>
      </c>
      <c r="F14" s="12">
        <f t="shared" si="0"/>
        <v>13392.0332</v>
      </c>
      <c r="G14" s="23" t="s">
        <v>4</v>
      </c>
      <c r="H14" s="2"/>
    </row>
    <row r="15" spans="1:8" ht="26.25" x14ac:dyDescent="0.25">
      <c r="A15" s="2"/>
      <c r="B15" s="103" t="s">
        <v>150</v>
      </c>
      <c r="C15" s="30">
        <v>2016</v>
      </c>
      <c r="D15" s="30">
        <v>50</v>
      </c>
      <c r="E15" s="12">
        <v>5583625.4800000004</v>
      </c>
      <c r="F15" s="12">
        <f t="shared" si="0"/>
        <v>111672.5096</v>
      </c>
      <c r="G15" s="23" t="s">
        <v>4</v>
      </c>
      <c r="H15" s="2"/>
    </row>
    <row r="16" spans="1:8" x14ac:dyDescent="0.25">
      <c r="A16" s="2"/>
      <c r="B16" s="103" t="s">
        <v>146</v>
      </c>
      <c r="C16" s="30">
        <v>2016</v>
      </c>
      <c r="D16" s="30">
        <v>50</v>
      </c>
      <c r="E16" s="12">
        <v>339511</v>
      </c>
      <c r="F16" s="12">
        <f t="shared" si="0"/>
        <v>6790.22</v>
      </c>
      <c r="G16" s="23" t="s">
        <v>4</v>
      </c>
      <c r="H16" s="2"/>
    </row>
    <row r="17" spans="1:8" x14ac:dyDescent="0.25">
      <c r="A17" s="2"/>
      <c r="B17" s="103" t="s">
        <v>151</v>
      </c>
      <c r="C17" s="30">
        <v>2016</v>
      </c>
      <c r="D17" s="30">
        <v>20</v>
      </c>
      <c r="E17" s="12">
        <v>15958733.52</v>
      </c>
      <c r="F17" s="12">
        <f t="shared" si="0"/>
        <v>797936.67599999998</v>
      </c>
      <c r="G17" s="23" t="s">
        <v>4</v>
      </c>
      <c r="H17" s="2"/>
    </row>
    <row r="18" spans="1:8" ht="26.25" x14ac:dyDescent="0.25">
      <c r="A18" s="2"/>
      <c r="B18" s="103" t="s">
        <v>152</v>
      </c>
      <c r="C18" s="30">
        <v>2016</v>
      </c>
      <c r="D18" s="30">
        <v>20</v>
      </c>
      <c r="E18" s="12">
        <v>4787620.0599999996</v>
      </c>
      <c r="F18" s="12">
        <f t="shared" si="0"/>
        <v>239381.00299999997</v>
      </c>
      <c r="G18" s="23" t="s">
        <v>4</v>
      </c>
      <c r="H18" s="2"/>
    </row>
    <row r="19" spans="1:8" ht="26.25" x14ac:dyDescent="0.25">
      <c r="A19" s="2"/>
      <c r="B19" s="103" t="s">
        <v>153</v>
      </c>
      <c r="C19" s="30">
        <v>2016</v>
      </c>
      <c r="D19" s="30">
        <v>10</v>
      </c>
      <c r="E19" s="12">
        <v>531958.78</v>
      </c>
      <c r="F19" s="12">
        <f t="shared" si="0"/>
        <v>53195.878000000004</v>
      </c>
      <c r="G19" s="23" t="s">
        <v>4</v>
      </c>
      <c r="H19" s="2"/>
    </row>
    <row r="20" spans="1:8" ht="26.25" x14ac:dyDescent="0.25">
      <c r="A20" s="2"/>
      <c r="B20" s="103" t="s">
        <v>154</v>
      </c>
      <c r="C20" s="30">
        <v>2016</v>
      </c>
      <c r="D20" s="30">
        <v>50</v>
      </c>
      <c r="E20" s="12">
        <v>680710.92</v>
      </c>
      <c r="F20" s="12">
        <f t="shared" si="0"/>
        <v>13614.218400000002</v>
      </c>
      <c r="G20" s="23" t="s">
        <v>4</v>
      </c>
      <c r="H20" s="2"/>
    </row>
    <row r="21" spans="1:8" ht="26.25" x14ac:dyDescent="0.25">
      <c r="A21" s="2"/>
      <c r="B21" s="103" t="s">
        <v>155</v>
      </c>
      <c r="C21" s="30">
        <v>2016</v>
      </c>
      <c r="D21" s="30">
        <v>50</v>
      </c>
      <c r="E21" s="12">
        <v>1058988.3400000001</v>
      </c>
      <c r="F21" s="12">
        <f t="shared" si="0"/>
        <v>21179.766800000001</v>
      </c>
      <c r="G21" s="23" t="s">
        <v>4</v>
      </c>
      <c r="H21" s="2"/>
    </row>
    <row r="22" spans="1:8" ht="26.25" x14ac:dyDescent="0.25">
      <c r="A22" s="2"/>
      <c r="B22" s="103" t="s">
        <v>156</v>
      </c>
      <c r="C22" s="30">
        <v>2016</v>
      </c>
      <c r="D22" s="30">
        <v>50</v>
      </c>
      <c r="E22" s="12">
        <v>2932945.48</v>
      </c>
      <c r="F22" s="12">
        <f t="shared" si="0"/>
        <v>58658.909599999999</v>
      </c>
      <c r="G22" s="23" t="s">
        <v>4</v>
      </c>
      <c r="H22" s="2"/>
    </row>
    <row r="23" spans="1:8" ht="26.25" x14ac:dyDescent="0.25">
      <c r="A23" s="2"/>
      <c r="B23" s="103" t="s">
        <v>149</v>
      </c>
      <c r="C23" s="30">
        <v>2016</v>
      </c>
      <c r="D23" s="30">
        <v>50</v>
      </c>
      <c r="E23" s="12">
        <v>1207378.6200000001</v>
      </c>
      <c r="F23" s="12">
        <f t="shared" si="0"/>
        <v>24147.572400000001</v>
      </c>
      <c r="G23" s="23" t="s">
        <v>4</v>
      </c>
      <c r="H23" s="2"/>
    </row>
    <row r="24" spans="1:8" ht="26.25" x14ac:dyDescent="0.25">
      <c r="A24" s="2"/>
      <c r="B24" s="103" t="s">
        <v>150</v>
      </c>
      <c r="C24" s="30">
        <v>2016</v>
      </c>
      <c r="D24" s="30">
        <v>50</v>
      </c>
      <c r="E24" s="12">
        <v>2575866.67</v>
      </c>
      <c r="F24" s="12">
        <f t="shared" si="0"/>
        <v>51517.333399999996</v>
      </c>
      <c r="G24" s="23" t="s">
        <v>4</v>
      </c>
      <c r="H24" s="2"/>
    </row>
    <row r="25" spans="1:8" x14ac:dyDescent="0.25">
      <c r="A25" s="2"/>
      <c r="B25" s="103" t="s">
        <v>157</v>
      </c>
      <c r="C25" s="30">
        <v>2016</v>
      </c>
      <c r="D25" s="30">
        <v>75</v>
      </c>
      <c r="E25" s="12">
        <v>2113972.5099999998</v>
      </c>
      <c r="F25" s="12">
        <f t="shared" si="0"/>
        <v>28186.30013333333</v>
      </c>
      <c r="G25" s="23" t="s">
        <v>4</v>
      </c>
      <c r="H25" s="2"/>
    </row>
    <row r="26" spans="1:8" x14ac:dyDescent="0.25">
      <c r="A26" s="2"/>
      <c r="B26" s="103" t="s">
        <v>146</v>
      </c>
      <c r="C26" s="30">
        <v>2016</v>
      </c>
      <c r="D26" s="30">
        <v>50</v>
      </c>
      <c r="E26" s="12">
        <v>6593555.9000000004</v>
      </c>
      <c r="F26" s="12">
        <f t="shared" si="0"/>
        <v>131871.11800000002</v>
      </c>
      <c r="G26" s="23" t="s">
        <v>4</v>
      </c>
      <c r="H26" s="2"/>
    </row>
    <row r="27" spans="1:8" ht="26.25" x14ac:dyDescent="0.25">
      <c r="A27" s="2"/>
      <c r="B27" s="103" t="s">
        <v>154</v>
      </c>
      <c r="C27" s="30">
        <v>2016</v>
      </c>
      <c r="D27" s="30">
        <v>50</v>
      </c>
      <c r="E27" s="12">
        <v>178382.5</v>
      </c>
      <c r="F27" s="12">
        <f t="shared" si="0"/>
        <v>3567.65</v>
      </c>
      <c r="G27" s="23" t="s">
        <v>4</v>
      </c>
      <c r="H27" s="2"/>
    </row>
    <row r="28" spans="1:8" ht="26.25" x14ac:dyDescent="0.25">
      <c r="A28" s="2"/>
      <c r="B28" s="103" t="s">
        <v>155</v>
      </c>
      <c r="C28" s="30">
        <v>2016</v>
      </c>
      <c r="D28" s="30">
        <v>50</v>
      </c>
      <c r="E28" s="12">
        <v>277511.33</v>
      </c>
      <c r="F28" s="12">
        <f t="shared" si="0"/>
        <v>5550.2266</v>
      </c>
      <c r="G28" s="23" t="s">
        <v>4</v>
      </c>
      <c r="H28" s="2"/>
    </row>
    <row r="29" spans="1:8" ht="26.25" x14ac:dyDescent="0.25">
      <c r="A29" s="2"/>
      <c r="B29" s="103" t="s">
        <v>156</v>
      </c>
      <c r="C29" s="30">
        <v>2016</v>
      </c>
      <c r="D29" s="30">
        <v>50</v>
      </c>
      <c r="E29" s="12">
        <v>768587.87</v>
      </c>
      <c r="F29" s="12">
        <f t="shared" si="0"/>
        <v>15371.7574</v>
      </c>
      <c r="G29" s="23" t="s">
        <v>4</v>
      </c>
      <c r="H29" s="2"/>
    </row>
    <row r="30" spans="1:8" ht="26.25" x14ac:dyDescent="0.25">
      <c r="A30" s="2"/>
      <c r="B30" s="103" t="s">
        <v>149</v>
      </c>
      <c r="C30" s="30">
        <v>2016</v>
      </c>
      <c r="D30" s="30">
        <v>50</v>
      </c>
      <c r="E30" s="12">
        <v>316397.48</v>
      </c>
      <c r="F30" s="12">
        <f t="shared" si="0"/>
        <v>6327.9495999999999</v>
      </c>
      <c r="G30" s="23" t="s">
        <v>4</v>
      </c>
      <c r="H30" s="2"/>
    </row>
    <row r="31" spans="1:8" ht="26.25" x14ac:dyDescent="0.25">
      <c r="A31" s="2"/>
      <c r="B31" s="103" t="s">
        <v>150</v>
      </c>
      <c r="C31" s="30">
        <v>2016</v>
      </c>
      <c r="D31" s="30">
        <v>50</v>
      </c>
      <c r="E31" s="12">
        <v>675014.21</v>
      </c>
      <c r="F31" s="12">
        <f t="shared" si="0"/>
        <v>13500.2842</v>
      </c>
      <c r="G31" s="23" t="s">
        <v>4</v>
      </c>
      <c r="H31" s="2"/>
    </row>
    <row r="32" spans="1:8" x14ac:dyDescent="0.25">
      <c r="A32" s="2"/>
      <c r="B32" s="103" t="s">
        <v>157</v>
      </c>
      <c r="C32" s="30">
        <v>2016</v>
      </c>
      <c r="D32" s="30">
        <v>75</v>
      </c>
      <c r="E32" s="12">
        <v>553973.35</v>
      </c>
      <c r="F32" s="12">
        <f t="shared" si="0"/>
        <v>7386.3113333333331</v>
      </c>
      <c r="G32" s="23" t="s">
        <v>4</v>
      </c>
      <c r="H32" s="2"/>
    </row>
    <row r="33" spans="1:8" x14ac:dyDescent="0.25">
      <c r="A33" s="2"/>
      <c r="B33" s="103" t="s">
        <v>158</v>
      </c>
      <c r="C33" s="30">
        <v>2016</v>
      </c>
      <c r="D33" s="30">
        <v>60</v>
      </c>
      <c r="E33" s="12">
        <v>158618.04999999999</v>
      </c>
      <c r="F33" s="12">
        <f t="shared" si="0"/>
        <v>2643.6341666666663</v>
      </c>
      <c r="G33" s="23" t="s">
        <v>4</v>
      </c>
      <c r="H33" s="2"/>
    </row>
    <row r="34" spans="1:8" x14ac:dyDescent="0.25">
      <c r="A34" s="2"/>
      <c r="B34" s="103" t="s">
        <v>159</v>
      </c>
      <c r="C34" s="30">
        <v>2016</v>
      </c>
      <c r="D34" s="30">
        <v>5</v>
      </c>
      <c r="E34" s="12">
        <v>25765.09</v>
      </c>
      <c r="F34" s="12">
        <f t="shared" si="0"/>
        <v>5153.018</v>
      </c>
      <c r="G34" s="23" t="s">
        <v>4</v>
      </c>
      <c r="H34" s="2"/>
    </row>
    <row r="35" spans="1:8" x14ac:dyDescent="0.25">
      <c r="A35" s="2"/>
      <c r="B35" s="103" t="s">
        <v>160</v>
      </c>
      <c r="C35" s="30">
        <v>2016</v>
      </c>
      <c r="D35" s="30">
        <v>75</v>
      </c>
      <c r="E35" s="12">
        <v>142580.22</v>
      </c>
      <c r="F35" s="12">
        <f t="shared" si="0"/>
        <v>1901.0696</v>
      </c>
      <c r="G35" s="23" t="s">
        <v>4</v>
      </c>
      <c r="H35" s="2"/>
    </row>
    <row r="36" spans="1:8" x14ac:dyDescent="0.25">
      <c r="A36" s="2"/>
      <c r="B36" s="103" t="s">
        <v>161</v>
      </c>
      <c r="C36" s="30">
        <v>2016</v>
      </c>
      <c r="D36" s="30">
        <v>5</v>
      </c>
      <c r="E36" s="12">
        <v>231803.05</v>
      </c>
      <c r="F36" s="12">
        <f t="shared" si="0"/>
        <v>46360.61</v>
      </c>
      <c r="G36" s="23" t="s">
        <v>4</v>
      </c>
      <c r="H36" s="2"/>
    </row>
    <row r="37" spans="1:8" x14ac:dyDescent="0.25">
      <c r="A37" s="2"/>
      <c r="B37" s="103" t="s">
        <v>160</v>
      </c>
      <c r="C37" s="30">
        <v>2016</v>
      </c>
      <c r="D37" s="30">
        <v>75</v>
      </c>
      <c r="E37" s="12">
        <v>76624.710000000006</v>
      </c>
      <c r="F37" s="12">
        <f t="shared" si="0"/>
        <v>1021.6628000000001</v>
      </c>
      <c r="G37" s="23" t="s">
        <v>4</v>
      </c>
      <c r="H37" s="2"/>
    </row>
    <row r="38" spans="1:8" x14ac:dyDescent="0.25">
      <c r="A38" s="2"/>
      <c r="B38" s="103" t="s">
        <v>162</v>
      </c>
      <c r="C38" s="30">
        <v>2016</v>
      </c>
      <c r="D38" s="30">
        <v>20</v>
      </c>
      <c r="E38" s="12">
        <v>978963.4</v>
      </c>
      <c r="F38" s="12">
        <f t="shared" si="0"/>
        <v>48948.17</v>
      </c>
      <c r="G38" s="23" t="s">
        <v>4</v>
      </c>
      <c r="H38" s="2"/>
    </row>
    <row r="39" spans="1:8" x14ac:dyDescent="0.25">
      <c r="A39" s="2"/>
      <c r="B39" s="103" t="s">
        <v>163</v>
      </c>
      <c r="C39" s="30">
        <v>2016</v>
      </c>
      <c r="D39" s="30">
        <v>10</v>
      </c>
      <c r="E39" s="12">
        <v>244740.85</v>
      </c>
      <c r="F39" s="12">
        <f t="shared" si="0"/>
        <v>24474.084999999999</v>
      </c>
      <c r="G39" s="23" t="s">
        <v>4</v>
      </c>
      <c r="H39" s="2"/>
    </row>
    <row r="40" spans="1:8" x14ac:dyDescent="0.25">
      <c r="A40" s="2"/>
      <c r="B40" s="103" t="s">
        <v>151</v>
      </c>
      <c r="C40" s="30">
        <v>2016</v>
      </c>
      <c r="D40" s="30">
        <v>20</v>
      </c>
      <c r="E40" s="12">
        <v>1904162.01</v>
      </c>
      <c r="F40" s="12">
        <f t="shared" si="0"/>
        <v>95208.1005</v>
      </c>
      <c r="G40" s="23" t="s">
        <v>4</v>
      </c>
      <c r="H40" s="2"/>
    </row>
    <row r="41" spans="1:8" x14ac:dyDescent="0.25">
      <c r="A41" s="2"/>
      <c r="B41" s="103" t="s">
        <v>151</v>
      </c>
      <c r="C41" s="30">
        <v>2016</v>
      </c>
      <c r="D41" s="30">
        <v>20</v>
      </c>
      <c r="E41" s="12">
        <v>354066.17</v>
      </c>
      <c r="F41" s="12">
        <f t="shared" si="0"/>
        <v>17703.308499999999</v>
      </c>
      <c r="G41" s="23" t="s">
        <v>4</v>
      </c>
      <c r="H41" s="2"/>
    </row>
    <row r="42" spans="1:8" ht="26.25" x14ac:dyDescent="0.25">
      <c r="A42" s="2"/>
      <c r="B42" s="103" t="s">
        <v>152</v>
      </c>
      <c r="C42" s="30">
        <v>2016</v>
      </c>
      <c r="D42" s="30">
        <v>20</v>
      </c>
      <c r="E42" s="12">
        <v>524444.68000000005</v>
      </c>
      <c r="F42" s="12">
        <f t="shared" si="0"/>
        <v>26222.234000000004</v>
      </c>
      <c r="G42" s="23" t="s">
        <v>4</v>
      </c>
      <c r="H42" s="2"/>
    </row>
    <row r="43" spans="1:8" x14ac:dyDescent="0.25">
      <c r="A43" s="2"/>
      <c r="B43" s="103" t="s">
        <v>164</v>
      </c>
      <c r="C43" s="30">
        <v>2016</v>
      </c>
      <c r="D43" s="30">
        <v>75</v>
      </c>
      <c r="E43" s="12">
        <v>32727.71</v>
      </c>
      <c r="F43" s="12">
        <f t="shared" si="0"/>
        <v>436.36946666666665</v>
      </c>
      <c r="G43" s="23" t="s">
        <v>4</v>
      </c>
      <c r="H43" s="2"/>
    </row>
    <row r="44" spans="1:8" x14ac:dyDescent="0.25">
      <c r="A44" s="2"/>
      <c r="B44" s="103" t="s">
        <v>160</v>
      </c>
      <c r="C44" s="30">
        <v>2016</v>
      </c>
      <c r="D44" s="30">
        <v>75</v>
      </c>
      <c r="E44" s="12">
        <v>491922.75</v>
      </c>
      <c r="F44" s="12">
        <f t="shared" si="0"/>
        <v>6558.97</v>
      </c>
      <c r="G44" s="23" t="s">
        <v>4</v>
      </c>
      <c r="H44" s="2"/>
    </row>
    <row r="45" spans="1:8" x14ac:dyDescent="0.25">
      <c r="A45" s="2"/>
      <c r="B45" s="103" t="s">
        <v>159</v>
      </c>
      <c r="C45" s="30">
        <v>2016</v>
      </c>
      <c r="D45" s="30">
        <v>5</v>
      </c>
      <c r="E45" s="12">
        <v>150706.04999999999</v>
      </c>
      <c r="F45" s="12">
        <f t="shared" si="0"/>
        <v>30141.21</v>
      </c>
      <c r="G45" s="23" t="s">
        <v>4</v>
      </c>
      <c r="H45" s="2"/>
    </row>
    <row r="46" spans="1:8" x14ac:dyDescent="0.25">
      <c r="A46" s="2"/>
      <c r="B46" s="103" t="s">
        <v>165</v>
      </c>
      <c r="C46" s="30">
        <v>2016</v>
      </c>
      <c r="D46" s="30">
        <v>60</v>
      </c>
      <c r="E46" s="12">
        <v>103968.05</v>
      </c>
      <c r="F46" s="12">
        <f t="shared" si="0"/>
        <v>1732.8008333333335</v>
      </c>
      <c r="G46" s="23" t="s">
        <v>4</v>
      </c>
      <c r="H46" s="2"/>
    </row>
    <row r="47" spans="1:8" ht="26.25" x14ac:dyDescent="0.25">
      <c r="A47" s="2"/>
      <c r="B47" s="103" t="s">
        <v>152</v>
      </c>
      <c r="C47" s="30">
        <v>2016</v>
      </c>
      <c r="D47" s="30">
        <v>20</v>
      </c>
      <c r="E47" s="12">
        <v>349396.75</v>
      </c>
      <c r="F47" s="12">
        <f t="shared" si="0"/>
        <v>17469.837500000001</v>
      </c>
      <c r="G47" s="23" t="s">
        <v>4</v>
      </c>
      <c r="H47" s="2"/>
    </row>
    <row r="48" spans="1:8" x14ac:dyDescent="0.25">
      <c r="A48" s="2"/>
      <c r="B48" s="103" t="s">
        <v>147</v>
      </c>
      <c r="C48" s="30">
        <v>2016</v>
      </c>
      <c r="D48" s="30">
        <v>20</v>
      </c>
      <c r="E48" s="12">
        <v>424382.85</v>
      </c>
      <c r="F48" s="12">
        <f t="shared" si="0"/>
        <v>21219.142499999998</v>
      </c>
      <c r="G48" s="23" t="s">
        <v>4</v>
      </c>
      <c r="H48" s="2"/>
    </row>
    <row r="49" spans="1:8" x14ac:dyDescent="0.25">
      <c r="A49" s="2"/>
      <c r="B49" s="103" t="s">
        <v>160</v>
      </c>
      <c r="C49" s="30">
        <v>2016</v>
      </c>
      <c r="D49" s="30">
        <v>75</v>
      </c>
      <c r="E49" s="12">
        <v>1630599.26</v>
      </c>
      <c r="F49" s="12">
        <f t="shared" si="0"/>
        <v>21741.323466666669</v>
      </c>
      <c r="G49" s="23" t="s">
        <v>4</v>
      </c>
      <c r="H49" s="2"/>
    </row>
    <row r="50" spans="1:8" ht="26.25" x14ac:dyDescent="0.25">
      <c r="A50" s="2"/>
      <c r="B50" s="103" t="s">
        <v>166</v>
      </c>
      <c r="C50" s="30">
        <v>2016</v>
      </c>
      <c r="D50" s="30">
        <v>20</v>
      </c>
      <c r="E50" s="12">
        <v>84352.75</v>
      </c>
      <c r="F50" s="12">
        <f t="shared" si="0"/>
        <v>4217.6374999999998</v>
      </c>
      <c r="G50" s="23" t="s">
        <v>4</v>
      </c>
      <c r="H50" s="2"/>
    </row>
    <row r="51" spans="1:8" x14ac:dyDescent="0.25">
      <c r="A51" s="2"/>
      <c r="B51" s="103" t="s">
        <v>167</v>
      </c>
      <c r="C51" s="30">
        <v>2016</v>
      </c>
      <c r="D51" s="30">
        <v>20</v>
      </c>
      <c r="E51" s="12">
        <v>381148.05</v>
      </c>
      <c r="F51" s="12">
        <f t="shared" si="0"/>
        <v>19057.4025</v>
      </c>
      <c r="G51" s="23" t="s">
        <v>4</v>
      </c>
      <c r="H51" s="2"/>
    </row>
    <row r="52" spans="1:8" x14ac:dyDescent="0.25">
      <c r="A52" s="2"/>
      <c r="B52" s="103" t="s">
        <v>159</v>
      </c>
      <c r="C52" s="30">
        <v>2016</v>
      </c>
      <c r="D52" s="30">
        <v>5</v>
      </c>
      <c r="E52" s="12">
        <v>129180.19</v>
      </c>
      <c r="F52" s="12">
        <f t="shared" si="0"/>
        <v>25836.038</v>
      </c>
      <c r="G52" s="23" t="s">
        <v>4</v>
      </c>
      <c r="H52" s="2"/>
    </row>
    <row r="53" spans="1:8" x14ac:dyDescent="0.25">
      <c r="A53" s="2"/>
      <c r="B53" s="103" t="s">
        <v>160</v>
      </c>
      <c r="C53" s="30">
        <v>2016</v>
      </c>
      <c r="D53" s="30">
        <v>75</v>
      </c>
      <c r="E53" s="12">
        <v>235422.8</v>
      </c>
      <c r="F53" s="12">
        <f t="shared" si="0"/>
        <v>3138.9706666666666</v>
      </c>
      <c r="G53" s="23" t="s">
        <v>4</v>
      </c>
      <c r="H53" s="2"/>
    </row>
    <row r="54" spans="1:8" x14ac:dyDescent="0.25">
      <c r="A54" s="2"/>
      <c r="B54" s="103" t="s">
        <v>168</v>
      </c>
      <c r="C54" s="30">
        <v>2016</v>
      </c>
      <c r="D54" s="30">
        <v>60</v>
      </c>
      <c r="E54" s="12">
        <v>72000.67</v>
      </c>
      <c r="F54" s="12">
        <f t="shared" si="0"/>
        <v>1200.0111666666667</v>
      </c>
      <c r="G54" s="23" t="s">
        <v>4</v>
      </c>
      <c r="H54" s="2"/>
    </row>
    <row r="55" spans="1:8" x14ac:dyDescent="0.25">
      <c r="A55" s="2"/>
      <c r="B55" s="103" t="s">
        <v>160</v>
      </c>
      <c r="C55" s="30">
        <v>2016</v>
      </c>
      <c r="D55" s="30">
        <v>75</v>
      </c>
      <c r="E55" s="12">
        <v>135987.31</v>
      </c>
      <c r="F55" s="12">
        <f t="shared" si="0"/>
        <v>1813.1641333333332</v>
      </c>
      <c r="G55" s="23" t="s">
        <v>4</v>
      </c>
      <c r="H55" s="2"/>
    </row>
    <row r="56" spans="1:8" x14ac:dyDescent="0.25">
      <c r="A56" s="2"/>
      <c r="B56" s="103" t="s">
        <v>159</v>
      </c>
      <c r="C56" s="30">
        <v>2016</v>
      </c>
      <c r="D56" s="30">
        <v>5</v>
      </c>
      <c r="E56" s="12">
        <v>64959.61</v>
      </c>
      <c r="F56" s="12">
        <f t="shared" si="0"/>
        <v>12991.922</v>
      </c>
      <c r="G56" s="23" t="s">
        <v>4</v>
      </c>
      <c r="H56" s="2"/>
    </row>
    <row r="57" spans="1:8" x14ac:dyDescent="0.25">
      <c r="A57" s="2"/>
      <c r="B57" s="103" t="s">
        <v>169</v>
      </c>
      <c r="C57" s="30">
        <v>2016</v>
      </c>
      <c r="D57" s="30">
        <v>75</v>
      </c>
      <c r="E57" s="12">
        <v>110711.71</v>
      </c>
      <c r="F57" s="12">
        <f t="shared" si="0"/>
        <v>1476.1561333333334</v>
      </c>
      <c r="G57" s="23" t="s">
        <v>4</v>
      </c>
      <c r="H57" s="2"/>
    </row>
    <row r="58" spans="1:8" x14ac:dyDescent="0.25">
      <c r="A58" s="2"/>
      <c r="B58" s="103" t="s">
        <v>169</v>
      </c>
      <c r="C58" s="30">
        <v>2016</v>
      </c>
      <c r="D58" s="30">
        <v>75</v>
      </c>
      <c r="E58" s="12">
        <v>83342.05</v>
      </c>
      <c r="F58" s="12">
        <f t="shared" si="0"/>
        <v>1111.2273333333333</v>
      </c>
      <c r="G58" s="23" t="s">
        <v>4</v>
      </c>
      <c r="H58" s="2"/>
    </row>
    <row r="59" spans="1:8" x14ac:dyDescent="0.25">
      <c r="A59" s="2"/>
      <c r="B59" s="103" t="s">
        <v>165</v>
      </c>
      <c r="C59" s="30">
        <v>2016</v>
      </c>
      <c r="D59" s="30">
        <v>60</v>
      </c>
      <c r="E59" s="12">
        <v>66336.61</v>
      </c>
      <c r="F59" s="12">
        <f t="shared" si="0"/>
        <v>1105.6101666666666</v>
      </c>
      <c r="G59" s="23" t="s">
        <v>4</v>
      </c>
      <c r="H59" s="2"/>
    </row>
    <row r="60" spans="1:8" x14ac:dyDescent="0.25">
      <c r="A60" s="2"/>
      <c r="B60" s="103" t="s">
        <v>167</v>
      </c>
      <c r="C60" s="30">
        <v>2016</v>
      </c>
      <c r="D60" s="30">
        <v>20</v>
      </c>
      <c r="E60" s="12">
        <v>279439.09000000003</v>
      </c>
      <c r="F60" s="12">
        <f t="shared" si="0"/>
        <v>13971.954500000002</v>
      </c>
      <c r="G60" s="23" t="s">
        <v>4</v>
      </c>
      <c r="H60" s="2"/>
    </row>
    <row r="61" spans="1:8" ht="26.25" x14ac:dyDescent="0.25">
      <c r="A61" s="2"/>
      <c r="B61" s="103" t="s">
        <v>170</v>
      </c>
      <c r="C61" s="30">
        <v>2016</v>
      </c>
      <c r="D61" s="30">
        <v>60</v>
      </c>
      <c r="E61" s="12">
        <v>158618.04999999999</v>
      </c>
      <c r="F61" s="12">
        <f t="shared" si="0"/>
        <v>2643.6341666666663</v>
      </c>
      <c r="G61" s="23" t="s">
        <v>4</v>
      </c>
      <c r="H61" s="2"/>
    </row>
    <row r="62" spans="1:8" x14ac:dyDescent="0.25">
      <c r="A62" s="2"/>
      <c r="B62" s="103" t="s">
        <v>165</v>
      </c>
      <c r="C62" s="30">
        <v>2016</v>
      </c>
      <c r="D62" s="30">
        <v>60</v>
      </c>
      <c r="E62" s="12">
        <v>99917.05</v>
      </c>
      <c r="F62" s="12">
        <f t="shared" si="0"/>
        <v>1665.2841666666668</v>
      </c>
      <c r="G62" s="23" t="s">
        <v>4</v>
      </c>
      <c r="H62" s="2"/>
    </row>
    <row r="63" spans="1:8" ht="26.25" x14ac:dyDescent="0.25">
      <c r="A63" s="2"/>
      <c r="B63" s="103" t="s">
        <v>171</v>
      </c>
      <c r="C63" s="30">
        <v>2016</v>
      </c>
      <c r="D63" s="30">
        <v>60</v>
      </c>
      <c r="E63" s="12">
        <v>1537693.05</v>
      </c>
      <c r="F63" s="12">
        <f t="shared" si="0"/>
        <v>25628.217500000002</v>
      </c>
      <c r="G63" s="23" t="s">
        <v>4</v>
      </c>
      <c r="H63" s="2"/>
    </row>
    <row r="64" spans="1:8" x14ac:dyDescent="0.25">
      <c r="A64" s="2"/>
      <c r="B64" s="103" t="s">
        <v>148</v>
      </c>
      <c r="C64" s="30">
        <v>2016</v>
      </c>
      <c r="D64" s="30">
        <v>10</v>
      </c>
      <c r="E64" s="12">
        <v>952208.76</v>
      </c>
      <c r="F64" s="12">
        <f t="shared" si="0"/>
        <v>95220.876000000004</v>
      </c>
      <c r="G64" s="23" t="s">
        <v>4</v>
      </c>
      <c r="H64" s="2"/>
    </row>
    <row r="65" spans="1:8" x14ac:dyDescent="0.25">
      <c r="A65" s="2"/>
      <c r="B65" s="103" t="s">
        <v>172</v>
      </c>
      <c r="C65" s="30">
        <v>2016</v>
      </c>
      <c r="D65" s="30">
        <v>10</v>
      </c>
      <c r="E65" s="12">
        <v>238052.19</v>
      </c>
      <c r="F65" s="12">
        <f t="shared" si="0"/>
        <v>23805.219000000001</v>
      </c>
      <c r="G65" s="23" t="s">
        <v>4</v>
      </c>
      <c r="H65" s="2"/>
    </row>
    <row r="66" spans="1:8" x14ac:dyDescent="0.25">
      <c r="A66" s="2"/>
      <c r="B66" s="103" t="s">
        <v>159</v>
      </c>
      <c r="C66" s="30">
        <v>2016</v>
      </c>
      <c r="D66" s="30">
        <v>5</v>
      </c>
      <c r="E66" s="12">
        <v>90336.55</v>
      </c>
      <c r="F66" s="12">
        <f t="shared" si="0"/>
        <v>18067.310000000001</v>
      </c>
      <c r="G66" s="23" t="s">
        <v>4</v>
      </c>
      <c r="H66" s="2"/>
    </row>
    <row r="67" spans="1:8" x14ac:dyDescent="0.25">
      <c r="A67" s="2"/>
      <c r="B67" s="103" t="s">
        <v>173</v>
      </c>
      <c r="C67" s="30">
        <v>2016</v>
      </c>
      <c r="D67" s="30">
        <v>20</v>
      </c>
      <c r="E67" s="12">
        <v>164161.67000000001</v>
      </c>
      <c r="F67" s="12">
        <f t="shared" si="0"/>
        <v>8208.0835000000006</v>
      </c>
      <c r="G67" s="23" t="s">
        <v>4</v>
      </c>
      <c r="H67" s="2"/>
    </row>
    <row r="68" spans="1:8" x14ac:dyDescent="0.25">
      <c r="A68" s="2"/>
      <c r="B68" s="103" t="s">
        <v>159</v>
      </c>
      <c r="C68" s="30">
        <v>2016</v>
      </c>
      <c r="D68" s="30">
        <v>5</v>
      </c>
      <c r="E68" s="12">
        <v>92865.25</v>
      </c>
      <c r="F68" s="12">
        <f t="shared" si="0"/>
        <v>18573.05</v>
      </c>
      <c r="G68" s="23" t="s">
        <v>4</v>
      </c>
      <c r="H68" s="2"/>
    </row>
    <row r="69" spans="1:8" x14ac:dyDescent="0.25">
      <c r="A69" s="2"/>
      <c r="B69" s="103" t="s">
        <v>159</v>
      </c>
      <c r="C69" s="30">
        <v>2016</v>
      </c>
      <c r="D69" s="30">
        <v>5</v>
      </c>
      <c r="E69" s="12">
        <v>279320.84000000003</v>
      </c>
      <c r="F69" s="12">
        <f t="shared" si="0"/>
        <v>55864.168000000005</v>
      </c>
      <c r="G69" s="23" t="s">
        <v>4</v>
      </c>
      <c r="H69" s="2"/>
    </row>
    <row r="70" spans="1:8" x14ac:dyDescent="0.25">
      <c r="A70" s="2"/>
      <c r="B70" s="84" t="s">
        <v>76</v>
      </c>
      <c r="C70" s="85"/>
      <c r="D70" s="85"/>
      <c r="E70" s="86"/>
      <c r="F70" s="21">
        <f>SUM(F10:F69)</f>
        <v>2632065.2873333325</v>
      </c>
      <c r="G70" s="22" t="s">
        <v>4</v>
      </c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DFE9" sheet="1" objects="1" scenarios="1"/>
  <mergeCells count="4">
    <mergeCell ref="B70:E7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2018-08-10T09:23:29Z</dcterms:modified>
</cp:coreProperties>
</file>