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G19" i="19"/>
  <c r="G20" i="19" s="1"/>
  <c r="E11" i="2" s="1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E10" i="15" s="1"/>
  <c r="G12" i="7"/>
  <c r="E9" i="2" l="1"/>
  <c r="E15" i="13"/>
  <c r="F11" i="11"/>
  <c r="F31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32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E9" i="15" s="1"/>
  <c r="G36" i="2" l="1"/>
  <c r="E13" i="15" l="1"/>
  <c r="E12" i="15"/>
  <c r="E15" i="15" s="1"/>
  <c r="G15" i="15" s="1"/>
  <c r="G18" i="15" s="1"/>
</calcChain>
</file>

<file path=xl/sharedStrings.xml><?xml version="1.0" encoding="utf-8"?>
<sst xmlns="http://schemas.openxmlformats.org/spreadsheetml/2006/main" count="398" uniqueCount="196">
  <si>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</si>
  <si>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</si>
  <si>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</si>
  <si>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</si>
  <si>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</si>
  <si>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</si>
  <si>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</si>
  <si>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</si>
  <si>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</si>
  <si>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</si>
  <si>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</si>
  <si>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</si>
  <si>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</si>
  <si>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</si>
  <si>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</si>
  <si>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</si>
  <si>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</si>
  <si>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</si>
  <si>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</si>
  <si>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</si>
  <si>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</si>
  <si>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</si>
  <si>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</si>
  <si>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</si>
  <si>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</si>
  <si>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</si>
  <si>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</si>
  <si>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</si>
  <si>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</si>
  <si>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</si>
  <si>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</si>
  <si>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</si>
  <si>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</si>
  <si>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</si>
  <si>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</si>
  <si>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</si>
  <si>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</si>
  <si>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</si>
  <si>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</si>
  <si>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</si>
  <si>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</si>
  <si>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</si>
  <si>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</si>
  <si>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</si>
  <si>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</si>
  <si>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</si>
  <si>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</si>
  <si>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</si>
  <si>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</si>
  <si>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</si>
  <si>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</si>
  <si>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</si>
  <si>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</si>
  <si>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</si>
  <si>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</si>
  <si>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</si>
  <si>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</si>
  <si>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</si>
  <si>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</si>
  <si>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</si>
  <si>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</si>
  <si>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</si>
  <si>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</si>
  <si>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</si>
  <si>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</si>
  <si>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</si>
  <si>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</si>
  <si>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</si>
  <si>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</si>
  <si>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</si>
  <si>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</si>
  <si>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</si>
  <si>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</si>
  <si>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</si>
  <si>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</si>
  <si>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</si>
  <si>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</si>
  <si>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</si>
  <si>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</si>
  <si>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</si>
  <si>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</si>
  <si>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</si>
  <si>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</si>
  <si>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</si>
  <si>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</si>
  <si>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</si>
  <si>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</si>
  <si>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</si>
  <si>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</si>
  <si>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</si>
  <si>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</si>
  <si>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</si>
  <si>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</si>
  <si>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</si>
  <si>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</si>
  <si>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</si>
  <si>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</si>
  <si>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</si>
  <si>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</si>
  <si>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</si>
  <si>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</si>
  <si>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</si>
  <si>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</si>
  <si>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</si>
  <si>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</si>
  <si>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</si>
  <si>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</si>
  <si>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</si>
  <si>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</si>
  <si>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</si>
  <si>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</si>
  <si>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</si>
  <si>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</si>
  <si>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</si>
  <si>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</si>
  <si>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</si>
  <si>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</si>
  <si>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</si>
  <si>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</si>
  <si>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</si>
  <si>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</si>
  <si>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</si>
  <si>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</si>
  <si>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</si>
  <si>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</si>
  <si>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</si>
  <si>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</si>
  <si>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</si>
  <si>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</si>
  <si>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</si>
  <si>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</si>
  <si>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</si>
  <si>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</si>
  <si>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</si>
  <si>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</si>
  <si>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</si>
  <si>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</si>
  <si>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</si>
  <si>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</si>
  <si>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</si>
  <si>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</si>
  <si>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</si>
  <si>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</si>
  <si>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</si>
  <si>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</si>
  <si>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</si>
  <si>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</si>
  <si>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</si>
  <si>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</si>
  <si>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Indløb med riste, Mek/EL</t>
  </si>
  <si>
    <t>Indløb med riste, SRO</t>
  </si>
  <si>
    <t>Beluftningstanke, Mek/EL</t>
  </si>
  <si>
    <t>Efterbehandlingsanlæg (sandfilter), Mek/EL</t>
  </si>
  <si>
    <t>Forafvanding, slam, SRO</t>
  </si>
  <si>
    <t>Forsinkelsesbassiner, lukkede med automatisk rensning og SRO Miljøklasse A (større end 10.000 m3) - Mek/EL</t>
  </si>
  <si>
    <t>Efterbehandlingsanlæg (sandfilter), SRO</t>
  </si>
  <si>
    <t>Arbejdsplads</t>
  </si>
  <si>
    <t>Pumpestationer m. overbygning (&lt; 20 m2), Mek/EL</t>
  </si>
  <si>
    <t>Ø 500 mm &lt; Ledningsnet ≤ Ø 800 mm</t>
  </si>
  <si>
    <t>Pumpestationer i underjordiske bygværker (&lt;50 m2), SRO</t>
  </si>
  <si>
    <t>Pumpestationer i brønde (&lt; 6,25 m2), Konstruktioner</t>
  </si>
  <si>
    <t>Pumpestationer m. overbygning (&lt; 20 m2), Konstruktioner</t>
  </si>
  <si>
    <t>Pumpestationer i brønde (&lt; 6,25 m2), SRO</t>
  </si>
  <si>
    <t>Ø 200 mm &lt; Ledningsnet ≤ Ø 500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</si>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</sst>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124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100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144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0" t="s">
        <v>77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1" t="s">
        <v>184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6" t="s">
        <v>80</v>
      </c>
      <c r="C9" s="75"/>
      <c r="D9" s="75"/>
      <c r="E9" s="75"/>
      <c r="F9" s="76"/>
      <c r="G9" s="12">
        <v>9585540</v>
      </c>
      <c r="H9" s="23" t="s">
        <v>4</v>
      </c>
      <c r="I9" s="2"/>
    </row>
    <row r="10" spans="1:9" x14ac:dyDescent="0.25">
      <c r="A10" s="2"/>
      <c r="B10" s="86" t="s">
        <v>81</v>
      </c>
      <c r="C10" s="75"/>
      <c r="D10" s="75"/>
      <c r="E10" s="75"/>
      <c r="F10" s="76"/>
      <c r="G10" s="12">
        <v>12436000</v>
      </c>
      <c r="H10" s="23" t="s">
        <v>4</v>
      </c>
      <c r="I10" s="2"/>
    </row>
    <row r="11" spans="1:9" x14ac:dyDescent="0.25">
      <c r="A11" s="2"/>
      <c r="B11" s="71" t="s">
        <v>185</v>
      </c>
      <c r="C11" s="72"/>
      <c r="D11" s="72"/>
      <c r="E11" s="72"/>
      <c r="F11" s="73"/>
      <c r="G11" s="21">
        <f>G9-G10</f>
        <v>-2850460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1" t="s">
        <v>186</v>
      </c>
      <c r="C14" s="92"/>
      <c r="D14" s="92"/>
      <c r="E14" s="92"/>
      <c r="F14" s="92"/>
      <c r="G14" s="92"/>
      <c r="H14" s="93"/>
      <c r="I14" s="2"/>
    </row>
    <row r="15" spans="1:9" x14ac:dyDescent="0.25">
      <c r="A15" s="2"/>
      <c r="B15" s="86" t="s">
        <v>82</v>
      </c>
      <c r="C15" s="75"/>
      <c r="D15" s="75"/>
      <c r="E15" s="75"/>
      <c r="F15" s="76"/>
      <c r="G15" s="12">
        <v>-646555</v>
      </c>
      <c r="H15" s="23" t="s">
        <v>4</v>
      </c>
      <c r="I15" s="2"/>
    </row>
    <row r="16" spans="1:9" x14ac:dyDescent="0.25">
      <c r="A16" s="2"/>
      <c r="B16" s="86" t="s">
        <v>83</v>
      </c>
      <c r="C16" s="75"/>
      <c r="D16" s="75"/>
      <c r="E16" s="75"/>
      <c r="F16" s="76"/>
      <c r="G16" s="12">
        <v>-300000</v>
      </c>
      <c r="H16" s="23" t="s">
        <v>4</v>
      </c>
      <c r="I16" s="2"/>
    </row>
    <row r="17" spans="1:9" x14ac:dyDescent="0.25">
      <c r="A17" s="2"/>
      <c r="B17" s="71" t="s">
        <v>186</v>
      </c>
      <c r="C17" s="72"/>
      <c r="D17" s="72"/>
      <c r="E17" s="72"/>
      <c r="F17" s="73"/>
      <c r="G17" s="21">
        <f>G15-G16</f>
        <v>-346555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1" t="s">
        <v>187</v>
      </c>
      <c r="C20" s="92"/>
      <c r="D20" s="92"/>
      <c r="E20" s="92"/>
      <c r="F20" s="92"/>
      <c r="G20" s="92"/>
      <c r="H20" s="93"/>
      <c r="I20" s="2"/>
    </row>
    <row r="21" spans="1:9" x14ac:dyDescent="0.25">
      <c r="A21" s="2"/>
      <c r="B21" s="86" t="s">
        <v>84</v>
      </c>
      <c r="C21" s="75"/>
      <c r="D21" s="75"/>
      <c r="E21" s="75"/>
      <c r="F21" s="76"/>
      <c r="G21" s="12">
        <v>0</v>
      </c>
      <c r="H21" s="23" t="s">
        <v>4</v>
      </c>
      <c r="I21" s="2"/>
    </row>
    <row r="22" spans="1:9" x14ac:dyDescent="0.25">
      <c r="A22" s="2"/>
      <c r="B22" s="86" t="s">
        <v>85</v>
      </c>
      <c r="C22" s="75"/>
      <c r="D22" s="75"/>
      <c r="E22" s="75"/>
      <c r="F22" s="76"/>
      <c r="G22" s="12">
        <v>500000</v>
      </c>
      <c r="H22" s="23" t="s">
        <v>4</v>
      </c>
      <c r="I22" s="2"/>
    </row>
    <row r="23" spans="1:9" x14ac:dyDescent="0.25">
      <c r="A23" s="2"/>
      <c r="B23" s="71" t="s">
        <v>187</v>
      </c>
      <c r="C23" s="72"/>
      <c r="D23" s="72"/>
      <c r="E23" s="72"/>
      <c r="F23" s="73"/>
      <c r="G23" s="21">
        <f>G21-G22</f>
        <v>-500000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1" t="s">
        <v>188</v>
      </c>
      <c r="C26" s="92"/>
      <c r="D26" s="92"/>
      <c r="E26" s="92"/>
      <c r="F26" s="92"/>
      <c r="G26" s="92"/>
      <c r="H26" s="93"/>
      <c r="I26" s="2"/>
    </row>
    <row r="27" spans="1:9" ht="29.25" customHeight="1" x14ac:dyDescent="0.25">
      <c r="A27" s="2"/>
      <c r="B27" s="80" t="s">
        <v>86</v>
      </c>
      <c r="C27" s="81"/>
      <c r="D27" s="81"/>
      <c r="E27" s="81"/>
      <c r="F27" s="82"/>
      <c r="G27" s="12">
        <v>0</v>
      </c>
      <c r="H27" s="23" t="s">
        <v>4</v>
      </c>
      <c r="I27" s="2"/>
    </row>
    <row r="28" spans="1:9" x14ac:dyDescent="0.25">
      <c r="A28" s="2"/>
      <c r="B28" s="86" t="s">
        <v>87</v>
      </c>
      <c r="C28" s="75"/>
      <c r="D28" s="75"/>
      <c r="E28" s="75"/>
      <c r="F28" s="76"/>
      <c r="G28" s="12">
        <v>1756775</v>
      </c>
      <c r="H28" s="23" t="s">
        <v>4</v>
      </c>
      <c r="I28" s="2"/>
    </row>
    <row r="29" spans="1:9" ht="15" customHeight="1" x14ac:dyDescent="0.25">
      <c r="A29" s="2"/>
      <c r="B29" s="91" t="s">
        <v>188</v>
      </c>
      <c r="C29" s="92"/>
      <c r="D29" s="92"/>
      <c r="E29" s="92"/>
      <c r="F29" s="93"/>
      <c r="G29" s="21">
        <f>G27-G28</f>
        <v>-1756775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1" t="s">
        <v>88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6" t="s">
        <v>89</v>
      </c>
      <c r="C33" s="75"/>
      <c r="D33" s="75"/>
      <c r="E33" s="75"/>
      <c r="F33" s="76"/>
      <c r="G33" s="12">
        <f>'Fane 8. Gen. inv. i 2016'!F32</f>
        <v>2464600.0466666673</v>
      </c>
      <c r="H33" s="23" t="s">
        <v>4</v>
      </c>
      <c r="I33" s="2"/>
    </row>
    <row r="34" spans="1:9" x14ac:dyDescent="0.25">
      <c r="A34" s="2"/>
      <c r="B34" s="86" t="s">
        <v>90</v>
      </c>
      <c r="C34" s="75"/>
      <c r="D34" s="75"/>
      <c r="E34" s="75"/>
      <c r="F34" s="76"/>
      <c r="G34" s="12">
        <v>1308333.3333333333</v>
      </c>
      <c r="H34" s="23" t="s">
        <v>4</v>
      </c>
      <c r="I34" s="2"/>
    </row>
    <row r="35" spans="1:9" x14ac:dyDescent="0.25">
      <c r="A35" s="2"/>
      <c r="B35" s="71" t="s">
        <v>88</v>
      </c>
      <c r="C35" s="72"/>
      <c r="D35" s="72"/>
      <c r="E35" s="72"/>
      <c r="F35" s="73"/>
      <c r="G35" s="21">
        <f>G33-G34</f>
        <v>1156266.7133333341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71" t="s">
        <v>189</v>
      </c>
      <c r="C38" s="72"/>
      <c r="D38" s="72"/>
      <c r="E38" s="72"/>
      <c r="F38" s="72"/>
      <c r="G38" s="72"/>
      <c r="H38" s="73"/>
      <c r="I38" s="2"/>
    </row>
    <row r="39" spans="1:9" x14ac:dyDescent="0.25">
      <c r="A39" s="2"/>
      <c r="B39" s="86" t="s">
        <v>146</v>
      </c>
      <c r="C39" s="75"/>
      <c r="D39" s="75"/>
      <c r="E39" s="75"/>
      <c r="F39" s="76"/>
      <c r="G39" s="12">
        <v>1098012</v>
      </c>
      <c r="H39" s="23" t="s">
        <v>4</v>
      </c>
      <c r="I39" s="2"/>
    </row>
    <row r="40" spans="1:9" x14ac:dyDescent="0.25">
      <c r="A40" s="2"/>
      <c r="B40" s="86" t="s">
        <v>79</v>
      </c>
      <c r="C40" s="75"/>
      <c r="D40" s="75"/>
      <c r="E40" s="75"/>
      <c r="F40" s="76"/>
      <c r="G40" s="12">
        <v>0</v>
      </c>
      <c r="H40" s="23" t="s">
        <v>4</v>
      </c>
      <c r="I40" s="2"/>
    </row>
    <row r="41" spans="1:9" x14ac:dyDescent="0.25">
      <c r="A41" s="2"/>
      <c r="B41" s="71" t="s">
        <v>189</v>
      </c>
      <c r="C41" s="72"/>
      <c r="D41" s="72"/>
      <c r="E41" s="72"/>
      <c r="F41" s="73"/>
      <c r="G41" s="21">
        <f>G39-G40</f>
        <v>1098012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0" t="s">
        <v>91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92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7" t="s">
        <v>93</v>
      </c>
      <c r="C9" s="88"/>
      <c r="D9" s="88"/>
      <c r="E9" s="88"/>
      <c r="F9" s="89"/>
      <c r="G9" s="18">
        <v>196747235.85711673</v>
      </c>
      <c r="H9" s="28" t="s">
        <v>4</v>
      </c>
      <c r="I9" s="2"/>
    </row>
    <row r="10" spans="1:9" x14ac:dyDescent="0.25">
      <c r="A10" s="2"/>
      <c r="B10" s="71" t="s">
        <v>94</v>
      </c>
      <c r="C10" s="72"/>
      <c r="D10" s="72"/>
      <c r="E10" s="72"/>
      <c r="F10" s="72"/>
      <c r="G10" s="72"/>
      <c r="H10" s="73"/>
      <c r="I10" s="2"/>
    </row>
    <row r="11" spans="1:9" x14ac:dyDescent="0.25">
      <c r="A11" s="2"/>
      <c r="B11" s="86" t="s">
        <v>19</v>
      </c>
      <c r="C11" s="75"/>
      <c r="D11" s="76"/>
      <c r="E11" s="12">
        <v>87791399.584463701</v>
      </c>
      <c r="F11" s="23" t="s">
        <v>4</v>
      </c>
      <c r="G11" s="20"/>
      <c r="H11" s="31"/>
      <c r="I11" s="2"/>
    </row>
    <row r="12" spans="1:9" x14ac:dyDescent="0.25">
      <c r="A12" s="2"/>
      <c r="B12" s="86" t="s">
        <v>95</v>
      </c>
      <c r="C12" s="75"/>
      <c r="D12" s="76"/>
      <c r="E12" s="12">
        <v>11756106.143333333</v>
      </c>
      <c r="F12" s="23" t="s">
        <v>4</v>
      </c>
      <c r="G12" s="15"/>
      <c r="H12" s="32"/>
      <c r="I12" s="2"/>
    </row>
    <row r="13" spans="1:9" x14ac:dyDescent="0.25">
      <c r="A13" s="2"/>
      <c r="B13" s="86" t="s">
        <v>96</v>
      </c>
      <c r="C13" s="75"/>
      <c r="D13" s="76"/>
      <c r="E13" s="12">
        <v>1019311.2866666662</v>
      </c>
      <c r="F13" s="23" t="s">
        <v>4</v>
      </c>
      <c r="G13" s="15"/>
      <c r="H13" s="32"/>
      <c r="I13" s="2"/>
    </row>
    <row r="14" spans="1:9" x14ac:dyDescent="0.25">
      <c r="A14" s="2"/>
      <c r="B14" s="86" t="s">
        <v>97</v>
      </c>
      <c r="C14" s="75"/>
      <c r="D14" s="76"/>
      <c r="E14" s="12">
        <v>4928000</v>
      </c>
      <c r="F14" s="23" t="s">
        <v>4</v>
      </c>
      <c r="G14" s="15"/>
      <c r="H14" s="32"/>
      <c r="I14" s="2"/>
    </row>
    <row r="15" spans="1:9" x14ac:dyDescent="0.25">
      <c r="A15" s="2"/>
      <c r="B15" s="87" t="s">
        <v>20</v>
      </c>
      <c r="C15" s="88"/>
      <c r="D15" s="89"/>
      <c r="E15" s="18">
        <f>SUM(E11:E14)</f>
        <v>105494817.01446369</v>
      </c>
      <c r="F15" s="28" t="s">
        <v>4</v>
      </c>
      <c r="G15" s="15"/>
      <c r="H15" s="32"/>
      <c r="I15" s="2"/>
    </row>
    <row r="16" spans="1:9" x14ac:dyDescent="0.25">
      <c r="A16" s="2"/>
      <c r="B16" s="86" t="s">
        <v>21</v>
      </c>
      <c r="C16" s="75"/>
      <c r="D16" s="76"/>
      <c r="E16" s="12">
        <v>13672015</v>
      </c>
      <c r="F16" s="23" t="s">
        <v>4</v>
      </c>
      <c r="G16" s="15"/>
      <c r="H16" s="32"/>
      <c r="I16" s="2"/>
    </row>
    <row r="17" spans="1:9" x14ac:dyDescent="0.25">
      <c r="A17" s="2"/>
      <c r="B17" s="86" t="s">
        <v>22</v>
      </c>
      <c r="C17" s="75"/>
      <c r="D17" s="76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86" t="s">
        <v>23</v>
      </c>
      <c r="C18" s="75"/>
      <c r="D18" s="76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7" t="s">
        <v>24</v>
      </c>
      <c r="C19" s="88"/>
      <c r="D19" s="89"/>
      <c r="E19" s="18">
        <f>SUM(E16:E18)</f>
        <v>13672015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80" t="s">
        <v>25</v>
      </c>
      <c r="C20" s="81"/>
      <c r="D20" s="82"/>
      <c r="E20" s="12">
        <v>-21164000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80" t="s">
        <v>26</v>
      </c>
      <c r="C21" s="81"/>
      <c r="D21" s="82"/>
      <c r="E21" s="12">
        <v>-51522638</v>
      </c>
      <c r="F21" s="23" t="s">
        <v>4</v>
      </c>
      <c r="G21" s="15"/>
      <c r="H21" s="32"/>
      <c r="I21" s="2"/>
    </row>
    <row r="22" spans="1:9" x14ac:dyDescent="0.25">
      <c r="A22" s="2"/>
      <c r="B22" s="86" t="s">
        <v>27</v>
      </c>
      <c r="C22" s="75"/>
      <c r="D22" s="76"/>
      <c r="E22" s="12">
        <v>-25662318</v>
      </c>
      <c r="F22" s="23" t="s">
        <v>4</v>
      </c>
      <c r="G22" s="15"/>
      <c r="H22" s="32"/>
      <c r="I22" s="2"/>
    </row>
    <row r="23" spans="1:9" x14ac:dyDescent="0.25">
      <c r="A23" s="2"/>
      <c r="B23" s="86" t="s">
        <v>28</v>
      </c>
      <c r="C23" s="75"/>
      <c r="D23" s="76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80" t="s">
        <v>29</v>
      </c>
      <c r="C24" s="81"/>
      <c r="D24" s="8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80" t="s">
        <v>30</v>
      </c>
      <c r="C25" s="81"/>
      <c r="D25" s="8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80" t="s">
        <v>31</v>
      </c>
      <c r="C26" s="81"/>
      <c r="D26" s="82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7" t="s">
        <v>32</v>
      </c>
      <c r="C27" s="88"/>
      <c r="D27" s="89"/>
      <c r="E27" s="18">
        <f>SUM(E20:E26)</f>
        <v>-98348956</v>
      </c>
      <c r="F27" s="28" t="s">
        <v>4</v>
      </c>
      <c r="G27" s="16"/>
      <c r="H27" s="33"/>
      <c r="I27" s="2"/>
    </row>
    <row r="28" spans="1:9" x14ac:dyDescent="0.25">
      <c r="A28" s="2"/>
      <c r="B28" s="87" t="s">
        <v>33</v>
      </c>
      <c r="C28" s="88"/>
      <c r="D28" s="89"/>
      <c r="E28" s="18">
        <f>E15+E19+E27</f>
        <v>20817876.014463693</v>
      </c>
      <c r="F28" s="28" t="s">
        <v>4</v>
      </c>
      <c r="G28" s="1">
        <f>IF(E28&lt;0,0,-E28)</f>
        <v>-20817876.014463693</v>
      </c>
      <c r="H28" s="28" t="s">
        <v>4</v>
      </c>
      <c r="I28" s="2"/>
    </row>
    <row r="29" spans="1:9" x14ac:dyDescent="0.25">
      <c r="A29" s="2"/>
      <c r="B29" s="71" t="s">
        <v>98</v>
      </c>
      <c r="C29" s="72"/>
      <c r="D29" s="72"/>
      <c r="E29" s="72"/>
      <c r="F29" s="72"/>
      <c r="G29" s="72"/>
      <c r="H29" s="73"/>
      <c r="I29" s="2"/>
    </row>
    <row r="30" spans="1:9" x14ac:dyDescent="0.25">
      <c r="A30" s="2"/>
      <c r="B30" s="87" t="s">
        <v>98</v>
      </c>
      <c r="C30" s="88"/>
      <c r="D30" s="89"/>
      <c r="E30" s="18">
        <v>275334</v>
      </c>
      <c r="F30" s="28" t="s">
        <v>4</v>
      </c>
      <c r="G30" s="18">
        <f>-$E$30</f>
        <v>-275334</v>
      </c>
      <c r="H30" s="28" t="s">
        <v>4</v>
      </c>
      <c r="I30" s="2"/>
    </row>
    <row r="31" spans="1:9" x14ac:dyDescent="0.25">
      <c r="A31" s="2"/>
      <c r="B31" s="101" t="s">
        <v>57</v>
      </c>
      <c r="C31" s="72"/>
      <c r="D31" s="72"/>
      <c r="E31" s="72"/>
      <c r="F31" s="72"/>
      <c r="G31" s="72"/>
      <c r="H31" s="73"/>
      <c r="I31" s="2"/>
    </row>
    <row r="32" spans="1:9" ht="30" customHeight="1" x14ac:dyDescent="0.25">
      <c r="A32" s="2"/>
      <c r="B32" s="80" t="s">
        <v>58</v>
      </c>
      <c r="C32" s="81"/>
      <c r="D32" s="82"/>
      <c r="E32" s="12">
        <v>152154983</v>
      </c>
      <c r="F32" s="23" t="s">
        <v>4</v>
      </c>
      <c r="G32" s="20"/>
      <c r="H32" s="31"/>
      <c r="I32" s="2"/>
    </row>
    <row r="33" spans="1:9" x14ac:dyDescent="0.25">
      <c r="A33" s="2"/>
      <c r="B33" s="86" t="s">
        <v>34</v>
      </c>
      <c r="C33" s="75"/>
      <c r="D33" s="76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80" t="s">
        <v>35</v>
      </c>
      <c r="C34" s="81"/>
      <c r="D34" s="82"/>
      <c r="E34" s="12">
        <v>5050225</v>
      </c>
      <c r="F34" s="23" t="s">
        <v>4</v>
      </c>
      <c r="G34" s="16"/>
      <c r="H34" s="33"/>
      <c r="I34" s="2"/>
    </row>
    <row r="35" spans="1:9" x14ac:dyDescent="0.25">
      <c r="A35" s="2"/>
      <c r="B35" s="87" t="s">
        <v>36</v>
      </c>
      <c r="C35" s="88"/>
      <c r="D35" s="89"/>
      <c r="E35" s="18">
        <f>SUM(E32:E34)</f>
        <v>157205208</v>
      </c>
      <c r="F35" s="28" t="s">
        <v>4</v>
      </c>
      <c r="G35" s="18">
        <f>-E35</f>
        <v>-157205208</v>
      </c>
      <c r="H35" s="28" t="s">
        <v>4</v>
      </c>
      <c r="I35" s="2"/>
    </row>
    <row r="36" spans="1:9" x14ac:dyDescent="0.25">
      <c r="A36" s="2"/>
      <c r="B36" s="71" t="s">
        <v>99</v>
      </c>
      <c r="C36" s="72"/>
      <c r="D36" s="72"/>
      <c r="E36" s="72"/>
      <c r="F36" s="73"/>
      <c r="G36" s="21">
        <f>$G$9+$G$28+$G$30+$G$35</f>
        <v>18448817.842653036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128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1" t="s">
        <v>181</v>
      </c>
      <c r="C8" s="72"/>
      <c r="D8" s="72"/>
      <c r="E8" s="72"/>
      <c r="F8" s="72"/>
      <c r="G8" s="73"/>
      <c r="H8" s="2"/>
    </row>
    <row r="9" spans="1:8" ht="29.25" customHeight="1" x14ac:dyDescent="0.25">
      <c r="A9" s="2"/>
      <c r="B9" s="77" t="s">
        <v>118</v>
      </c>
      <c r="C9" s="79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5" t="s">
        <v>182</v>
      </c>
      <c r="C10" s="106"/>
      <c r="D10" s="107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1" t="s">
        <v>135</v>
      </c>
      <c r="C11" s="7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71" t="s">
        <v>148</v>
      </c>
      <c r="C12" s="73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1" t="s">
        <v>177</v>
      </c>
      <c r="C15" s="72"/>
      <c r="D15" s="72"/>
      <c r="E15" s="72"/>
      <c r="F15" s="72"/>
      <c r="G15" s="73"/>
      <c r="H15" s="2"/>
    </row>
    <row r="16" spans="1:8" ht="15" customHeight="1" x14ac:dyDescent="0.25">
      <c r="A16" s="2"/>
      <c r="B16" s="77" t="s">
        <v>195</v>
      </c>
      <c r="C16" s="78"/>
      <c r="D16" s="78"/>
      <c r="E16" s="79"/>
      <c r="F16" s="100" t="s">
        <v>178</v>
      </c>
      <c r="G16" s="100"/>
      <c r="H16" s="2"/>
    </row>
    <row r="17" spans="1:8" x14ac:dyDescent="0.25">
      <c r="A17" s="2"/>
      <c r="B17" s="86" t="s">
        <v>191</v>
      </c>
      <c r="C17" s="75"/>
      <c r="D17" s="75"/>
      <c r="E17" s="76"/>
      <c r="F17" s="12">
        <v>0</v>
      </c>
      <c r="G17" s="23" t="s">
        <v>4</v>
      </c>
      <c r="H17" s="2"/>
    </row>
    <row r="18" spans="1:8" x14ac:dyDescent="0.25">
      <c r="A18" s="2"/>
      <c r="B18" s="71" t="s">
        <v>179</v>
      </c>
      <c r="C18" s="72"/>
      <c r="D18" s="72"/>
      <c r="E18" s="73"/>
      <c r="F18" s="21">
        <f>SUM(F17:F17)</f>
        <v>0</v>
      </c>
      <c r="G18" s="22" t="s">
        <v>4</v>
      </c>
      <c r="H18" s="2"/>
    </row>
    <row r="19" spans="1:8" x14ac:dyDescent="0.25">
      <c r="A19" s="2"/>
      <c r="B19" s="71" t="s">
        <v>180</v>
      </c>
      <c r="C19" s="72"/>
      <c r="D19" s="72"/>
      <c r="E19" s="73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0" t="s">
        <v>120</v>
      </c>
      <c r="C3" s="90"/>
      <c r="D3" s="90"/>
      <c r="E3" s="90"/>
      <c r="F3" s="90"/>
      <c r="G3" s="90"/>
      <c r="H3" s="2"/>
    </row>
    <row r="4" spans="1:8" ht="25.5" customHeight="1" x14ac:dyDescent="0.25">
      <c r="A4" s="2"/>
      <c r="B4" s="90"/>
      <c r="C4" s="90"/>
      <c r="D4" s="90"/>
      <c r="E4" s="90"/>
      <c r="F4" s="90"/>
      <c r="G4" s="90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1" t="s">
        <v>119</v>
      </c>
      <c r="C8" s="72"/>
      <c r="D8" s="72"/>
      <c r="E8" s="72"/>
      <c r="F8" s="72"/>
      <c r="G8" s="73"/>
      <c r="H8" s="2"/>
    </row>
    <row r="9" spans="1:8" ht="29.25" customHeight="1" x14ac:dyDescent="0.25">
      <c r="A9" s="2"/>
      <c r="B9" s="34" t="s">
        <v>121</v>
      </c>
      <c r="C9" s="35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8" t="s">
        <v>190</v>
      </c>
      <c r="C10" s="109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1" t="s">
        <v>130</v>
      </c>
      <c r="C11" s="7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71" t="s">
        <v>147</v>
      </c>
      <c r="C12" s="73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56</v>
      </c>
      <c r="C8" s="72"/>
      <c r="D8" s="72"/>
      <c r="E8" s="72"/>
      <c r="F8" s="72"/>
      <c r="G8" s="72"/>
      <c r="H8" s="73"/>
      <c r="I8" s="2"/>
    </row>
    <row r="9" spans="1:9" ht="15" customHeight="1" x14ac:dyDescent="0.25">
      <c r="A9" s="2"/>
      <c r="B9" s="80" t="s">
        <v>60</v>
      </c>
      <c r="C9" s="81"/>
      <c r="D9" s="82"/>
      <c r="E9" s="8">
        <f>'Fane 3. Korrigeret grundlag'!G12</f>
        <v>175042131.501683</v>
      </c>
      <c r="F9" s="9" t="s">
        <v>4</v>
      </c>
      <c r="G9" s="10"/>
      <c r="H9" s="11"/>
      <c r="I9" s="2"/>
    </row>
    <row r="10" spans="1:9" x14ac:dyDescent="0.25">
      <c r="A10" s="2"/>
      <c r="B10" s="74" t="s">
        <v>46</v>
      </c>
      <c r="C10" s="75"/>
      <c r="D10" s="76"/>
      <c r="E10" s="12">
        <f>'Fane 3. Korrigeret grundlag'!G11</f>
        <v>11531633.406889958</v>
      </c>
      <c r="F10" s="9" t="s">
        <v>4</v>
      </c>
      <c r="G10" s="13"/>
      <c r="H10" s="14"/>
      <c r="I10" s="2"/>
    </row>
    <row r="11" spans="1:9" x14ac:dyDescent="0.25">
      <c r="A11" s="2"/>
      <c r="B11" s="74" t="s">
        <v>123</v>
      </c>
      <c r="C11" s="75"/>
      <c r="D11" s="76"/>
      <c r="E11" s="12">
        <f>'Fane 4. Ikke-påvirkelige omk.'!G20</f>
        <v>-2059397.6351465001</v>
      </c>
      <c r="F11" s="9" t="s">
        <v>4</v>
      </c>
      <c r="G11" s="13"/>
      <c r="H11" s="14"/>
      <c r="I11" s="2"/>
    </row>
    <row r="12" spans="1:9" x14ac:dyDescent="0.25">
      <c r="A12" s="2"/>
      <c r="B12" s="40" t="s">
        <v>193</v>
      </c>
      <c r="C12" s="38"/>
      <c r="D12" s="39"/>
      <c r="E12" s="12">
        <f>'Fane 5. Individuelt eff.krav'!G10</f>
        <v>-2646156.6119826534</v>
      </c>
      <c r="F12" s="9" t="s">
        <v>4</v>
      </c>
      <c r="G12" s="13"/>
      <c r="H12" s="14"/>
      <c r="I12" s="2"/>
    </row>
    <row r="13" spans="1:9" x14ac:dyDescent="0.25">
      <c r="A13" s="2"/>
      <c r="B13" s="74" t="s">
        <v>173</v>
      </c>
      <c r="C13" s="83"/>
      <c r="D13" s="84"/>
      <c r="E13" s="12">
        <f>'Fane 3. Korrigeret grundlag'!G22</f>
        <v>3881332.1930339537</v>
      </c>
      <c r="F13" s="9" t="s">
        <v>4</v>
      </c>
      <c r="G13" s="13"/>
      <c r="H13" s="14"/>
      <c r="I13" s="2"/>
    </row>
    <row r="14" spans="1:9" x14ac:dyDescent="0.25">
      <c r="A14" s="2"/>
      <c r="B14" s="80" t="s">
        <v>131</v>
      </c>
      <c r="C14" s="81"/>
      <c r="D14" s="82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0" t="s">
        <v>132</v>
      </c>
      <c r="C15" s="81"/>
      <c r="D15" s="82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80" t="s">
        <v>177</v>
      </c>
      <c r="C16" s="81"/>
      <c r="D16" s="82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80" t="s">
        <v>133</v>
      </c>
      <c r="C17" s="81"/>
      <c r="D17" s="82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0" t="s">
        <v>134</v>
      </c>
      <c r="C18" s="81"/>
      <c r="D18" s="82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40" t="s">
        <v>126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74" t="s">
        <v>125</v>
      </c>
      <c r="C20" s="75"/>
      <c r="D20" s="76"/>
      <c r="E20" s="12">
        <f>SUM(E9,E11:E18)*(E19/100)</f>
        <v>3048813.4153327872</v>
      </c>
      <c r="F20" s="9" t="s">
        <v>4</v>
      </c>
      <c r="G20" s="13"/>
      <c r="H20" s="14"/>
      <c r="I20" s="2"/>
    </row>
    <row r="21" spans="1:9" x14ac:dyDescent="0.25">
      <c r="A21" s="2"/>
      <c r="B21" s="86" t="s">
        <v>15</v>
      </c>
      <c r="C21" s="75"/>
      <c r="D21" s="76"/>
      <c r="E21" s="12">
        <f>'Fane 5. Individuelt eff.krav'!G12</f>
        <v>302150.84842966119</v>
      </c>
      <c r="F21" s="9" t="s">
        <v>4</v>
      </c>
      <c r="G21" s="15"/>
      <c r="H21" s="14"/>
      <c r="I21" s="2"/>
    </row>
    <row r="22" spans="1:9" x14ac:dyDescent="0.25">
      <c r="A22" s="2"/>
      <c r="B22" s="86" t="s">
        <v>16</v>
      </c>
      <c r="C22" s="75"/>
      <c r="D22" s="76"/>
      <c r="E22" s="12">
        <f>'Fane 6. Generelt eff.krav'!G17</f>
        <v>3101020.9759818283</v>
      </c>
      <c r="F22" s="9" t="s">
        <v>4</v>
      </c>
      <c r="G22" s="16"/>
      <c r="H22" s="17"/>
      <c r="I22" s="2"/>
    </row>
    <row r="23" spans="1:9" x14ac:dyDescent="0.25">
      <c r="A23" s="2"/>
      <c r="B23" s="87" t="s">
        <v>183</v>
      </c>
      <c r="C23" s="88"/>
      <c r="D23" s="89"/>
      <c r="E23" s="18">
        <f>SUM(E9,E11:E18,E20)-SUM(E21:E22)</f>
        <v>173863551.03850913</v>
      </c>
      <c r="F23" s="19" t="s">
        <v>4</v>
      </c>
      <c r="G23" s="18">
        <f>E23</f>
        <v>173863551.03850913</v>
      </c>
      <c r="H23" s="19" t="s">
        <v>4</v>
      </c>
      <c r="I23" s="2"/>
    </row>
    <row r="24" spans="1:9" x14ac:dyDescent="0.25">
      <c r="A24" s="2"/>
      <c r="B24" s="71" t="s">
        <v>17</v>
      </c>
      <c r="C24" s="72"/>
      <c r="D24" s="72"/>
      <c r="E24" s="72"/>
      <c r="F24" s="72"/>
      <c r="G24" s="72"/>
      <c r="H24" s="73"/>
      <c r="I24" s="2"/>
    </row>
    <row r="25" spans="1:9" x14ac:dyDescent="0.25">
      <c r="A25" s="2"/>
      <c r="B25" s="77" t="s">
        <v>55</v>
      </c>
      <c r="C25" s="78"/>
      <c r="D25" s="79"/>
      <c r="E25" s="18">
        <f>'Fane 7. Hist. over el. underdæk'!G13</f>
        <v>1973833.4144620812</v>
      </c>
      <c r="F25" s="19" t="s">
        <v>4</v>
      </c>
      <c r="G25" s="18">
        <f>E25</f>
        <v>1973833.4144620812</v>
      </c>
      <c r="H25" s="19" t="s">
        <v>4</v>
      </c>
      <c r="I25" s="2"/>
    </row>
    <row r="26" spans="1:9" x14ac:dyDescent="0.25">
      <c r="A26" s="2"/>
      <c r="B26" s="71" t="s">
        <v>100</v>
      </c>
      <c r="C26" s="72"/>
      <c r="D26" s="72"/>
      <c r="E26" s="72"/>
      <c r="F26" s="72"/>
      <c r="G26" s="72"/>
      <c r="H26" s="73"/>
      <c r="I26" s="2"/>
    </row>
    <row r="27" spans="1:9" x14ac:dyDescent="0.25">
      <c r="A27" s="2"/>
      <c r="B27" s="80" t="s">
        <v>107</v>
      </c>
      <c r="C27" s="81"/>
      <c r="D27" s="82"/>
      <c r="E27" s="12">
        <f>'Fane 9. Korrektion af PL2016'!G11</f>
        <v>-2850460</v>
      </c>
      <c r="F27" s="9" t="s">
        <v>4</v>
      </c>
      <c r="G27" s="20"/>
      <c r="H27" s="11"/>
      <c r="I27" s="2"/>
    </row>
    <row r="28" spans="1:9" x14ac:dyDescent="0.25">
      <c r="A28" s="2"/>
      <c r="B28" s="80" t="s">
        <v>101</v>
      </c>
      <c r="C28" s="81"/>
      <c r="D28" s="82"/>
      <c r="E28" s="12">
        <f>'Fane 9. Korrektion af PL2016'!G17</f>
        <v>-346555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0" t="s">
        <v>102</v>
      </c>
      <c r="C29" s="81"/>
      <c r="D29" s="82"/>
      <c r="E29" s="12">
        <f>'Fane 9. Korrektion af PL2016'!G23</f>
        <v>-500000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0" t="s">
        <v>103</v>
      </c>
      <c r="C30" s="81"/>
      <c r="D30" s="82"/>
      <c r="E30" s="12">
        <f>'Fane 9. Korrektion af PL2016'!G29</f>
        <v>-1756775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0" t="s">
        <v>104</v>
      </c>
      <c r="C31" s="81"/>
      <c r="D31" s="82"/>
      <c r="E31" s="12">
        <f>'Fane 9. Korrektion af PL2016'!G35</f>
        <v>1156266.7133333341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80" t="s">
        <v>78</v>
      </c>
      <c r="C32" s="81"/>
      <c r="D32" s="82"/>
      <c r="E32" s="12">
        <f>'Fane 9. Korrektion af PL2016'!G41</f>
        <v>1098012</v>
      </c>
      <c r="F32" s="9" t="s">
        <v>4</v>
      </c>
      <c r="G32" s="16"/>
      <c r="H32" s="17"/>
      <c r="I32" s="2"/>
    </row>
    <row r="33" spans="1:9" x14ac:dyDescent="0.25">
      <c r="A33" s="2"/>
      <c r="B33" s="77" t="s">
        <v>105</v>
      </c>
      <c r="C33" s="78"/>
      <c r="D33" s="79"/>
      <c r="E33" s="18">
        <f>SUM(E27:E32)</f>
        <v>-3199511.2866666662</v>
      </c>
      <c r="F33" s="19" t="s">
        <v>4</v>
      </c>
      <c r="G33" s="18">
        <f>E33</f>
        <v>-3199511.2866666662</v>
      </c>
      <c r="H33" s="19" t="s">
        <v>4</v>
      </c>
      <c r="I33" s="2"/>
    </row>
    <row r="34" spans="1:9" x14ac:dyDescent="0.25">
      <c r="A34" s="2"/>
      <c r="B34" s="71" t="s">
        <v>18</v>
      </c>
      <c r="C34" s="72"/>
      <c r="D34" s="72"/>
      <c r="E34" s="72"/>
      <c r="F34" s="72"/>
      <c r="G34" s="72"/>
      <c r="H34" s="73"/>
      <c r="I34" s="2"/>
    </row>
    <row r="35" spans="1:9" x14ac:dyDescent="0.25">
      <c r="A35" s="2"/>
      <c r="B35" s="77" t="s">
        <v>106</v>
      </c>
      <c r="C35" s="78"/>
      <c r="D35" s="79"/>
      <c r="E35" s="18">
        <f>'Fane 10. Kontrol af PL2016'!G36</f>
        <v>18448817.842653036</v>
      </c>
      <c r="F35" s="19" t="s">
        <v>4</v>
      </c>
      <c r="G35" s="18">
        <f>E35</f>
        <v>18448817.842653036</v>
      </c>
      <c r="H35" s="19" t="s">
        <v>4</v>
      </c>
      <c r="I35" s="2"/>
    </row>
    <row r="36" spans="1:9" x14ac:dyDescent="0.25">
      <c r="A36" s="2"/>
      <c r="B36" s="71" t="s">
        <v>62</v>
      </c>
      <c r="C36" s="72"/>
      <c r="D36" s="72"/>
      <c r="E36" s="72"/>
      <c r="F36" s="73"/>
      <c r="G36" s="21">
        <f>G23+G25+G33+G35</f>
        <v>191086691.00895759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110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56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0" t="s">
        <v>108</v>
      </c>
      <c r="C9" s="81"/>
      <c r="D9" s="82"/>
      <c r="E9" s="8">
        <f>'Fane 2.1. Økonomisk ramme 2018'!G23-'Fane 2.1. Økonomisk ramme 2018'!E13*(1+0.0175)*(1-0.02-'Fane 5. Individuelt eff.krav'!G11/100)</f>
        <v>170000399.17704931</v>
      </c>
      <c r="F9" s="9" t="s">
        <v>4</v>
      </c>
      <c r="G9" s="10"/>
      <c r="H9" s="11"/>
      <c r="I9" s="2"/>
    </row>
    <row r="10" spans="1:9" x14ac:dyDescent="0.25">
      <c r="A10" s="2"/>
      <c r="B10" s="74" t="s">
        <v>46</v>
      </c>
      <c r="C10" s="83"/>
      <c r="D10" s="84"/>
      <c r="E10" s="12">
        <f>(SUM('Fane 2.1. Økonomisk ramme 2018'!E10:E11,'Fane 2.1. Økonomisk ramme 2018'!E16))*(1+'Fane 2.1. Økonomisk ramme 2018'!E19/100)</f>
        <v>9637999.8977489695</v>
      </c>
      <c r="F10" s="9" t="s">
        <v>4</v>
      </c>
      <c r="G10" s="13"/>
      <c r="H10" s="14"/>
      <c r="I10" s="2"/>
    </row>
    <row r="11" spans="1:9" x14ac:dyDescent="0.25">
      <c r="A11" s="2"/>
      <c r="B11" s="40" t="s">
        <v>173</v>
      </c>
      <c r="C11" s="41"/>
      <c r="D11" s="42"/>
      <c r="E11" s="12">
        <v>3949256</v>
      </c>
      <c r="F11" s="9" t="s">
        <v>4</v>
      </c>
      <c r="G11" s="13"/>
      <c r="H11" s="14"/>
      <c r="I11" s="2"/>
    </row>
    <row r="12" spans="1:9" x14ac:dyDescent="0.25">
      <c r="A12" s="2"/>
      <c r="B12" s="86" t="s">
        <v>61</v>
      </c>
      <c r="C12" s="75"/>
      <c r="D12" s="76"/>
      <c r="E12" s="12">
        <f>($E$9+E11)*'Fane 2.1. Økonomisk ramme 2018'!E19/100</f>
        <v>3044118.9655983625</v>
      </c>
      <c r="F12" s="9" t="s">
        <v>4</v>
      </c>
      <c r="G12" s="15"/>
      <c r="H12" s="14"/>
      <c r="I12" s="2"/>
    </row>
    <row r="13" spans="1:9" x14ac:dyDescent="0.25">
      <c r="A13" s="2"/>
      <c r="B13" s="86" t="s">
        <v>15</v>
      </c>
      <c r="C13" s="75"/>
      <c r="D13" s="76"/>
      <c r="E13" s="12">
        <f>($E$9+E11-$E$10)*(1+'Fane 2.1. Økonomisk ramme 2018'!E19/100)*'Fane 5. Individuelt eff.krav'!$G$11/100</f>
        <v>301354.83950375824</v>
      </c>
      <c r="F13" s="9" t="s">
        <v>4</v>
      </c>
      <c r="G13" s="15"/>
      <c r="H13" s="14"/>
      <c r="I13" s="2"/>
    </row>
    <row r="14" spans="1:9" x14ac:dyDescent="0.25">
      <c r="A14" s="2"/>
      <c r="B14" s="37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3177268.4069259251</v>
      </c>
      <c r="F14" s="9" t="s">
        <v>4</v>
      </c>
      <c r="G14" s="16"/>
      <c r="H14" s="17"/>
      <c r="I14" s="2"/>
    </row>
    <row r="15" spans="1:9" x14ac:dyDescent="0.25">
      <c r="A15" s="2"/>
      <c r="B15" s="87" t="s">
        <v>183</v>
      </c>
      <c r="C15" s="88"/>
      <c r="D15" s="89"/>
      <c r="E15" s="18">
        <f>$E$9+$E$12-$E$13-$E$14+E11</f>
        <v>173515150.896218</v>
      </c>
      <c r="F15" s="19" t="s">
        <v>4</v>
      </c>
      <c r="G15" s="18">
        <f>E15</f>
        <v>173515150.896218</v>
      </c>
      <c r="H15" s="19" t="s">
        <v>4</v>
      </c>
      <c r="I15" s="2"/>
    </row>
    <row r="16" spans="1:9" x14ac:dyDescent="0.25">
      <c r="A16" s="2"/>
      <c r="B16" s="71" t="s">
        <v>17</v>
      </c>
      <c r="C16" s="72"/>
      <c r="D16" s="72"/>
      <c r="E16" s="72"/>
      <c r="F16" s="72"/>
      <c r="G16" s="72"/>
      <c r="H16" s="73"/>
      <c r="I16" s="2"/>
    </row>
    <row r="17" spans="1:9" ht="15" customHeight="1" x14ac:dyDescent="0.25">
      <c r="A17" s="2"/>
      <c r="B17" s="77" t="s">
        <v>55</v>
      </c>
      <c r="C17" s="78"/>
      <c r="D17" s="79"/>
      <c r="E17" s="18">
        <f>IF('Fane 7. Hist. over el. underdæk'!$G$12&gt;1,'Fane 7. Hist. over el. underdæk'!$G$13,0)</f>
        <v>1973833.4144620812</v>
      </c>
      <c r="F17" s="19" t="s">
        <v>4</v>
      </c>
      <c r="G17" s="18">
        <f>E17</f>
        <v>1973833.4144620812</v>
      </c>
      <c r="H17" s="19" t="s">
        <v>4</v>
      </c>
      <c r="I17" s="2"/>
    </row>
    <row r="18" spans="1:9" x14ac:dyDescent="0.25">
      <c r="A18" s="2"/>
      <c r="B18" s="71" t="s">
        <v>109</v>
      </c>
      <c r="C18" s="72"/>
      <c r="D18" s="72"/>
      <c r="E18" s="72"/>
      <c r="F18" s="73"/>
      <c r="G18" s="21">
        <f>G15+G17</f>
        <v>175488984.31068009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0" t="s">
        <v>141</v>
      </c>
      <c r="C3" s="90"/>
      <c r="D3" s="90"/>
      <c r="E3" s="90"/>
      <c r="F3" s="90"/>
      <c r="G3" s="90"/>
      <c r="H3" s="90"/>
      <c r="I3" s="2"/>
    </row>
    <row r="4" spans="1:9" ht="29.2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143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6" t="s">
        <v>112</v>
      </c>
      <c r="C9" s="75"/>
      <c r="D9" s="75"/>
      <c r="E9" s="75"/>
      <c r="F9" s="76"/>
      <c r="G9" s="12">
        <v>50553039.668664172</v>
      </c>
      <c r="H9" s="23" t="s">
        <v>4</v>
      </c>
      <c r="I9" s="2"/>
    </row>
    <row r="10" spans="1:9" x14ac:dyDescent="0.25">
      <c r="A10" s="2"/>
      <c r="B10" s="86" t="s">
        <v>113</v>
      </c>
      <c r="C10" s="75"/>
      <c r="D10" s="75"/>
      <c r="E10" s="75"/>
      <c r="F10" s="76"/>
      <c r="G10" s="12">
        <v>112957458.42612888</v>
      </c>
      <c r="H10" s="23" t="s">
        <v>4</v>
      </c>
      <c r="I10" s="2"/>
    </row>
    <row r="11" spans="1:9" x14ac:dyDescent="0.25">
      <c r="A11" s="2"/>
      <c r="B11" s="86" t="s">
        <v>140</v>
      </c>
      <c r="C11" s="75"/>
      <c r="D11" s="75"/>
      <c r="E11" s="75"/>
      <c r="F11" s="76"/>
      <c r="G11" s="12">
        <v>11531633.406889958</v>
      </c>
      <c r="H11" s="23" t="s">
        <v>4</v>
      </c>
      <c r="I11" s="2"/>
    </row>
    <row r="12" spans="1:9" ht="17.25" customHeight="1" x14ac:dyDescent="0.25">
      <c r="A12" s="2"/>
      <c r="B12" s="91" t="s">
        <v>145</v>
      </c>
      <c r="C12" s="92"/>
      <c r="D12" s="92"/>
      <c r="E12" s="92"/>
      <c r="F12" s="93"/>
      <c r="G12" s="21">
        <f>SUM(G9:G11)</f>
        <v>175042131.501683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71" t="s">
        <v>173</v>
      </c>
      <c r="C19" s="72"/>
      <c r="D19" s="72"/>
      <c r="E19" s="72"/>
      <c r="F19" s="72"/>
      <c r="G19" s="72"/>
      <c r="H19" s="73"/>
      <c r="I19" s="2"/>
    </row>
    <row r="20" spans="1:9" x14ac:dyDescent="0.25">
      <c r="A20" s="2"/>
      <c r="B20" s="86" t="s">
        <v>174</v>
      </c>
      <c r="C20" s="75"/>
      <c r="D20" s="75"/>
      <c r="E20" s="75"/>
      <c r="F20" s="76"/>
      <c r="G20" s="12">
        <v>3881332.1930339537</v>
      </c>
      <c r="H20" s="23" t="s">
        <v>4</v>
      </c>
      <c r="I20" s="2"/>
    </row>
    <row r="21" spans="1:9" x14ac:dyDescent="0.25">
      <c r="A21" s="2"/>
      <c r="B21" s="86" t="s">
        <v>175</v>
      </c>
      <c r="C21" s="75"/>
      <c r="D21" s="75"/>
      <c r="E21" s="75"/>
      <c r="F21" s="76"/>
      <c r="G21" s="12">
        <v>0</v>
      </c>
      <c r="H21" s="23" t="s">
        <v>4</v>
      </c>
      <c r="I21" s="2"/>
    </row>
    <row r="22" spans="1:9" x14ac:dyDescent="0.25">
      <c r="A22" s="2"/>
      <c r="B22" s="91" t="s">
        <v>176</v>
      </c>
      <c r="C22" s="92"/>
      <c r="D22" s="92"/>
      <c r="E22" s="92"/>
      <c r="F22" s="93"/>
      <c r="G22" s="21">
        <f>SUM(G20:G21)</f>
        <v>3881332.1930339537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114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115</v>
      </c>
      <c r="C8" s="72"/>
      <c r="D8" s="72"/>
      <c r="E8" s="72"/>
      <c r="F8" s="72"/>
      <c r="G8" s="72"/>
      <c r="H8" s="73"/>
      <c r="I8" s="2"/>
    </row>
    <row r="9" spans="1:9" ht="51.75" customHeight="1" x14ac:dyDescent="0.25">
      <c r="A9" s="2"/>
      <c r="B9" s="77" t="s">
        <v>117</v>
      </c>
      <c r="C9" s="78"/>
      <c r="D9" s="79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86" t="s">
        <v>164</v>
      </c>
      <c r="C10" s="75"/>
      <c r="D10" s="75"/>
      <c r="E10" s="102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86" t="s">
        <v>165</v>
      </c>
      <c r="C11" s="75"/>
      <c r="D11" s="75"/>
      <c r="E11" s="102">
        <v>396611.12880000001</v>
      </c>
      <c r="F11" s="23" t="s">
        <v>4</v>
      </c>
      <c r="G11" s="12">
        <v>484197</v>
      </c>
      <c r="H11" s="23" t="s">
        <v>4</v>
      </c>
      <c r="I11" s="2"/>
    </row>
    <row r="12" spans="1:9" x14ac:dyDescent="0.25">
      <c r="A12" s="2"/>
      <c r="B12" s="86" t="s">
        <v>166</v>
      </c>
      <c r="C12" s="75"/>
      <c r="D12" s="75"/>
      <c r="E12" s="102">
        <v>2336956.6902000001</v>
      </c>
      <c r="F12" s="23" t="s">
        <v>4</v>
      </c>
      <c r="G12" s="12">
        <v>4161907</v>
      </c>
      <c r="H12" s="23" t="s">
        <v>4</v>
      </c>
      <c r="I12" s="2"/>
    </row>
    <row r="13" spans="1:9" x14ac:dyDescent="0.25">
      <c r="A13" s="2"/>
      <c r="B13" s="86" t="s">
        <v>167</v>
      </c>
      <c r="C13" s="75"/>
      <c r="D13" s="75"/>
      <c r="E13" s="102">
        <v>32399.4126</v>
      </c>
      <c r="F13" s="23" t="s">
        <v>4</v>
      </c>
      <c r="G13" s="12">
        <v>88476</v>
      </c>
      <c r="H13" s="23" t="s">
        <v>4</v>
      </c>
      <c r="I13" s="2"/>
    </row>
    <row r="14" spans="1:9" x14ac:dyDescent="0.25">
      <c r="A14" s="2"/>
      <c r="B14" s="86" t="s">
        <v>168</v>
      </c>
      <c r="C14" s="75"/>
      <c r="D14" s="75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86" t="s">
        <v>169</v>
      </c>
      <c r="C15" s="75"/>
      <c r="D15" s="75"/>
      <c r="E15" s="102">
        <v>6062990.7516000001</v>
      </c>
      <c r="F15" s="23" t="s">
        <v>4</v>
      </c>
      <c r="G15" s="12">
        <v>3874648</v>
      </c>
      <c r="H15" s="23" t="s">
        <v>4</v>
      </c>
      <c r="I15" s="2"/>
    </row>
    <row r="16" spans="1:9" x14ac:dyDescent="0.25">
      <c r="A16" s="2"/>
      <c r="B16" s="86" t="s">
        <v>170</v>
      </c>
      <c r="C16" s="75"/>
      <c r="D16" s="75"/>
      <c r="E16" s="102">
        <v>807961.03659999999</v>
      </c>
      <c r="F16" s="23" t="s">
        <v>4</v>
      </c>
      <c r="G16" s="12">
        <v>753812</v>
      </c>
      <c r="H16" s="23" t="s">
        <v>4</v>
      </c>
      <c r="I16" s="2"/>
    </row>
    <row r="17" spans="1:9" x14ac:dyDescent="0.25">
      <c r="A17" s="2"/>
      <c r="B17" s="86" t="s">
        <v>171</v>
      </c>
      <c r="C17" s="75"/>
      <c r="D17" s="75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ht="28.5" customHeight="1" x14ac:dyDescent="0.25">
      <c r="A18" s="2"/>
      <c r="B18" s="103" t="s">
        <v>172</v>
      </c>
      <c r="C18" s="103"/>
      <c r="D18" s="103"/>
      <c r="E18" s="102">
        <v>1750099</v>
      </c>
      <c r="F18" s="23" t="s">
        <v>4</v>
      </c>
      <c r="G18" s="12">
        <v>0</v>
      </c>
      <c r="H18" s="23" t="s">
        <v>4</v>
      </c>
      <c r="I18" s="2"/>
    </row>
    <row r="19" spans="1:9" x14ac:dyDescent="0.25">
      <c r="A19" s="2"/>
      <c r="B19" s="71" t="s">
        <v>136</v>
      </c>
      <c r="C19" s="72"/>
      <c r="D19" s="72"/>
      <c r="E19" s="72"/>
      <c r="F19" s="73"/>
      <c r="G19" s="21">
        <f>SUM(G10:G18)-SUM(E10:E18)</f>
        <v>-2023978.0197999999</v>
      </c>
      <c r="H19" s="22" t="s">
        <v>4</v>
      </c>
      <c r="I19" s="2"/>
    </row>
    <row r="20" spans="1:9" x14ac:dyDescent="0.25">
      <c r="A20" s="2"/>
      <c r="B20" s="71" t="s">
        <v>137</v>
      </c>
      <c r="C20" s="72"/>
      <c r="D20" s="72"/>
      <c r="E20" s="72"/>
      <c r="F20" s="73"/>
      <c r="G20" s="21">
        <f>G19*(1+'Fane 2.1. Økonomisk ramme 2018'!E19/100)</f>
        <v>-2059397.6351465001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15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6" t="s">
        <v>51</v>
      </c>
      <c r="C9" s="75"/>
      <c r="D9" s="75"/>
      <c r="E9" s="75"/>
      <c r="F9" s="76"/>
      <c r="G9" s="12">
        <f>'Fane 3. Korrigeret grundlag'!G12-'Fane 3. Korrigeret grundlag'!G11+SUM('Fane 2.1. Økonomisk ramme 2018'!E13:E15,'Fane 2.1. Økonomisk ramme 2018'!E17:E18)</f>
        <v>167391830.28782701</v>
      </c>
      <c r="H9" s="23" t="s">
        <v>4</v>
      </c>
      <c r="I9" s="2"/>
    </row>
    <row r="10" spans="1:9" x14ac:dyDescent="0.25">
      <c r="A10" s="2"/>
      <c r="B10" s="37" t="s">
        <v>193</v>
      </c>
      <c r="C10" s="38"/>
      <c r="D10" s="38"/>
      <c r="E10" s="38"/>
      <c r="F10" s="39"/>
      <c r="G10" s="12">
        <v>-2646156.6119826534</v>
      </c>
      <c r="H10" s="23" t="s">
        <v>4</v>
      </c>
      <c r="I10" s="2"/>
    </row>
    <row r="11" spans="1:9" x14ac:dyDescent="0.25">
      <c r="A11" s="2"/>
      <c r="B11" s="86" t="s">
        <v>37</v>
      </c>
      <c r="C11" s="75"/>
      <c r="D11" s="75"/>
      <c r="E11" s="75"/>
      <c r="F11" s="76"/>
      <c r="G11" s="26">
        <v>0.18025004491171795</v>
      </c>
      <c r="H11" s="23" t="s">
        <v>38</v>
      </c>
      <c r="I11" s="2"/>
    </row>
    <row r="12" spans="1:9" x14ac:dyDescent="0.25">
      <c r="A12" s="2"/>
      <c r="B12" s="71" t="s">
        <v>15</v>
      </c>
      <c r="C12" s="72"/>
      <c r="D12" s="72"/>
      <c r="E12" s="72"/>
      <c r="F12" s="73"/>
      <c r="G12" s="21">
        <f>($G$9+G10)*(1+'Fane 2.1. Økonomisk ramme 2018'!E19/100)*($G$11/100)</f>
        <v>302150.84842966119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53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54434371.861698128</v>
      </c>
      <c r="H9" s="23" t="s">
        <v>4</v>
      </c>
      <c r="I9" s="2"/>
    </row>
    <row r="10" spans="1:9" x14ac:dyDescent="0.25">
      <c r="A10" s="2"/>
      <c r="B10" s="43" t="s">
        <v>192</v>
      </c>
      <c r="C10" s="44"/>
      <c r="D10" s="44"/>
      <c r="E10" s="44"/>
      <c r="F10" s="45"/>
      <c r="G10" s="12">
        <v>-1117167.3400000001</v>
      </c>
      <c r="H10" s="23" t="s">
        <v>4</v>
      </c>
      <c r="I10" s="2"/>
    </row>
    <row r="11" spans="1:9" x14ac:dyDescent="0.25">
      <c r="A11" s="2"/>
      <c r="B11" s="86" t="s">
        <v>16</v>
      </c>
      <c r="C11" s="75"/>
      <c r="D11" s="75"/>
      <c r="E11" s="75"/>
      <c r="F11" s="76"/>
      <c r="G11" s="27">
        <f>2</f>
        <v>2</v>
      </c>
      <c r="H11" s="23" t="s">
        <v>38</v>
      </c>
      <c r="I11" s="2"/>
    </row>
    <row r="12" spans="1:9" x14ac:dyDescent="0.25">
      <c r="A12" s="2"/>
      <c r="B12" s="87" t="s">
        <v>39</v>
      </c>
      <c r="C12" s="88"/>
      <c r="D12" s="88"/>
      <c r="E12" s="88"/>
      <c r="F12" s="89"/>
      <c r="G12" s="18">
        <f>($G$9+$G$10)*(1+'Fane 2.1. Økonomisk ramme 2018'!E19/100)*$G$11/100</f>
        <v>1085005.1120165568</v>
      </c>
      <c r="H12" s="28" t="s">
        <v>4</v>
      </c>
      <c r="I12" s="2"/>
    </row>
    <row r="13" spans="1:9" x14ac:dyDescent="0.25">
      <c r="A13" s="2"/>
      <c r="B13" s="86" t="s">
        <v>48</v>
      </c>
      <c r="C13" s="75"/>
      <c r="D13" s="75"/>
      <c r="E13" s="75"/>
      <c r="F13" s="76"/>
      <c r="G13" s="12">
        <f>'Fane 3. Korrigeret grundlag'!G10+SUM('Fane 2.1. Økonomisk ramme 2018'!E15,'Fane 2.1. Økonomisk ramme 2018'!E18)</f>
        <v>112957458.42612888</v>
      </c>
      <c r="H13" s="23" t="s">
        <v>4</v>
      </c>
      <c r="I13" s="2"/>
    </row>
    <row r="14" spans="1:9" x14ac:dyDescent="0.25">
      <c r="A14" s="2"/>
      <c r="B14" s="37" t="s">
        <v>194</v>
      </c>
      <c r="C14" s="38"/>
      <c r="D14" s="38"/>
      <c r="E14" s="38"/>
      <c r="F14" s="39"/>
      <c r="G14" s="12">
        <v>-1017211.3952</v>
      </c>
      <c r="H14" s="23" t="s">
        <v>4</v>
      </c>
      <c r="I14" s="2"/>
    </row>
    <row r="15" spans="1:9" x14ac:dyDescent="0.25">
      <c r="A15" s="2"/>
      <c r="B15" s="86" t="s">
        <v>16</v>
      </c>
      <c r="C15" s="75"/>
      <c r="D15" s="75"/>
      <c r="E15" s="75"/>
      <c r="F15" s="76"/>
      <c r="G15" s="26">
        <v>1.77</v>
      </c>
      <c r="H15" s="23" t="s">
        <v>38</v>
      </c>
      <c r="I15" s="2"/>
    </row>
    <row r="16" spans="1:9" x14ac:dyDescent="0.25">
      <c r="A16" s="2"/>
      <c r="B16" s="87" t="s">
        <v>40</v>
      </c>
      <c r="C16" s="88"/>
      <c r="D16" s="88"/>
      <c r="E16" s="88"/>
      <c r="F16" s="89"/>
      <c r="G16" s="18">
        <f>($G$13+$G$14)*(1+'Fane 2.1. Økonomisk ramme 2018'!E19/100)*$G$15/100</f>
        <v>2016015.8639652715</v>
      </c>
      <c r="H16" s="28" t="s">
        <v>4</v>
      </c>
      <c r="I16" s="2"/>
    </row>
    <row r="17" spans="1:9" x14ac:dyDescent="0.25">
      <c r="A17" s="2"/>
      <c r="B17" s="71" t="s">
        <v>52</v>
      </c>
      <c r="C17" s="72"/>
      <c r="D17" s="72"/>
      <c r="E17" s="72"/>
      <c r="F17" s="73"/>
      <c r="G17" s="21">
        <f>G12+G16</f>
        <v>3101020.9759818283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54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6" t="s">
        <v>42</v>
      </c>
      <c r="C9" s="75"/>
      <c r="D9" s="75"/>
      <c r="E9" s="75"/>
      <c r="F9" s="76"/>
      <c r="G9" s="12">
        <v>10938002</v>
      </c>
      <c r="H9" s="23" t="s">
        <v>4</v>
      </c>
      <c r="I9" s="2"/>
    </row>
    <row r="10" spans="1:9" x14ac:dyDescent="0.25">
      <c r="A10" s="2"/>
      <c r="B10" s="86" t="s">
        <v>122</v>
      </c>
      <c r="C10" s="75"/>
      <c r="D10" s="75"/>
      <c r="E10" s="75"/>
      <c r="F10" s="76"/>
      <c r="G10" s="12">
        <v>5016501.7566137565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5921500.2433862435</v>
      </c>
      <c r="H11" s="29" t="s">
        <v>4</v>
      </c>
      <c r="I11" s="2"/>
    </row>
    <row r="12" spans="1:9" x14ac:dyDescent="0.25">
      <c r="A12" s="2"/>
      <c r="B12" s="86" t="s">
        <v>43</v>
      </c>
      <c r="C12" s="75"/>
      <c r="D12" s="75"/>
      <c r="E12" s="75"/>
      <c r="F12" s="76"/>
      <c r="G12" s="12">
        <v>3</v>
      </c>
      <c r="H12" s="23" t="s">
        <v>127</v>
      </c>
      <c r="I12" s="2"/>
    </row>
    <row r="13" spans="1:9" x14ac:dyDescent="0.25">
      <c r="A13" s="2"/>
      <c r="B13" s="71" t="s">
        <v>41</v>
      </c>
      <c r="C13" s="72"/>
      <c r="D13" s="72"/>
      <c r="E13" s="72"/>
      <c r="F13" s="73"/>
      <c r="G13" s="21">
        <f>IF(G12 = 0,0,G11/G12)</f>
        <v>1973833.4144620812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1" t="s">
        <v>75</v>
      </c>
      <c r="C8" s="72"/>
      <c r="D8" s="72"/>
      <c r="E8" s="72"/>
      <c r="F8" s="72"/>
      <c r="G8" s="73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4" t="s">
        <v>149</v>
      </c>
      <c r="C10" s="30">
        <v>2016</v>
      </c>
      <c r="D10" s="30">
        <v>20</v>
      </c>
      <c r="E10" s="12">
        <v>8048149</v>
      </c>
      <c r="F10" s="12">
        <f>E10/D10</f>
        <v>402407.45</v>
      </c>
      <c r="G10" s="23" t="s">
        <v>4</v>
      </c>
      <c r="H10" s="2"/>
    </row>
    <row r="11" spans="1:8" x14ac:dyDescent="0.25">
      <c r="A11" s="2"/>
      <c r="B11" s="104" t="s">
        <v>150</v>
      </c>
      <c r="C11" s="30">
        <v>2016</v>
      </c>
      <c r="D11" s="30">
        <v>10</v>
      </c>
      <c r="E11" s="12">
        <v>1924466</v>
      </c>
      <c r="F11" s="12">
        <f t="shared" ref="F11:F31" si="0">E11/D11</f>
        <v>192446.6</v>
      </c>
      <c r="G11" s="23" t="s">
        <v>4</v>
      </c>
      <c r="H11" s="2"/>
    </row>
    <row r="12" spans="1:8" x14ac:dyDescent="0.25">
      <c r="A12" s="2"/>
      <c r="B12" s="104" t="s">
        <v>151</v>
      </c>
      <c r="C12" s="30">
        <v>2016</v>
      </c>
      <c r="D12" s="30">
        <v>20</v>
      </c>
      <c r="E12" s="12">
        <v>14129085</v>
      </c>
      <c r="F12" s="12">
        <f t="shared" si="0"/>
        <v>706454.25</v>
      </c>
      <c r="G12" s="23" t="s">
        <v>4</v>
      </c>
      <c r="H12" s="2"/>
    </row>
    <row r="13" spans="1:8" x14ac:dyDescent="0.25">
      <c r="A13" s="2"/>
      <c r="B13" s="104" t="s">
        <v>152</v>
      </c>
      <c r="C13" s="30">
        <v>2016</v>
      </c>
      <c r="D13" s="30">
        <v>20</v>
      </c>
      <c r="E13" s="12">
        <v>153560</v>
      </c>
      <c r="F13" s="12">
        <f t="shared" si="0"/>
        <v>7678</v>
      </c>
      <c r="G13" s="23" t="s">
        <v>4</v>
      </c>
      <c r="H13" s="2"/>
    </row>
    <row r="14" spans="1:8" x14ac:dyDescent="0.25">
      <c r="A14" s="2"/>
      <c r="B14" s="104" t="s">
        <v>152</v>
      </c>
      <c r="C14" s="30">
        <v>2016</v>
      </c>
      <c r="D14" s="30">
        <v>20</v>
      </c>
      <c r="E14" s="12">
        <v>591091</v>
      </c>
      <c r="F14" s="12">
        <f t="shared" si="0"/>
        <v>29554.55</v>
      </c>
      <c r="G14" s="23" t="s">
        <v>4</v>
      </c>
      <c r="H14" s="2"/>
    </row>
    <row r="15" spans="1:8" x14ac:dyDescent="0.25">
      <c r="A15" s="2"/>
      <c r="B15" s="104" t="s">
        <v>149</v>
      </c>
      <c r="C15" s="30">
        <v>2016</v>
      </c>
      <c r="D15" s="30">
        <v>20</v>
      </c>
      <c r="E15" s="12">
        <v>706126</v>
      </c>
      <c r="F15" s="12">
        <f t="shared" si="0"/>
        <v>35306.300000000003</v>
      </c>
      <c r="G15" s="23" t="s">
        <v>4</v>
      </c>
      <c r="H15" s="2"/>
    </row>
    <row r="16" spans="1:8" x14ac:dyDescent="0.25">
      <c r="A16" s="2"/>
      <c r="B16" s="104" t="s">
        <v>151</v>
      </c>
      <c r="C16" s="30">
        <v>2016</v>
      </c>
      <c r="D16" s="30">
        <v>20</v>
      </c>
      <c r="E16" s="12">
        <v>66471</v>
      </c>
      <c r="F16" s="12">
        <f t="shared" si="0"/>
        <v>3323.55</v>
      </c>
      <c r="G16" s="23" t="s">
        <v>4</v>
      </c>
      <c r="H16" s="2"/>
    </row>
    <row r="17" spans="1:8" x14ac:dyDescent="0.25">
      <c r="A17" s="2"/>
      <c r="B17" s="104" t="s">
        <v>153</v>
      </c>
      <c r="C17" s="30">
        <v>2016</v>
      </c>
      <c r="D17" s="30">
        <v>10</v>
      </c>
      <c r="E17" s="12">
        <v>53956</v>
      </c>
      <c r="F17" s="12">
        <f t="shared" si="0"/>
        <v>5395.6</v>
      </c>
      <c r="G17" s="23" t="s">
        <v>4</v>
      </c>
      <c r="H17" s="2"/>
    </row>
    <row r="18" spans="1:8" ht="39" x14ac:dyDescent="0.25">
      <c r="A18" s="2"/>
      <c r="B18" s="104" t="s">
        <v>154</v>
      </c>
      <c r="C18" s="30">
        <v>2016</v>
      </c>
      <c r="D18" s="30">
        <v>20</v>
      </c>
      <c r="E18" s="12">
        <v>1864500</v>
      </c>
      <c r="F18" s="12">
        <f t="shared" si="0"/>
        <v>93225</v>
      </c>
      <c r="G18" s="23" t="s">
        <v>4</v>
      </c>
      <c r="H18" s="2"/>
    </row>
    <row r="19" spans="1:8" x14ac:dyDescent="0.25">
      <c r="A19" s="2"/>
      <c r="B19" s="104" t="s">
        <v>155</v>
      </c>
      <c r="C19" s="30">
        <v>2016</v>
      </c>
      <c r="D19" s="30">
        <v>10</v>
      </c>
      <c r="E19" s="12">
        <v>203775</v>
      </c>
      <c r="F19" s="12">
        <f t="shared" si="0"/>
        <v>20377.5</v>
      </c>
      <c r="G19" s="23" t="s">
        <v>4</v>
      </c>
      <c r="H19" s="2"/>
    </row>
    <row r="20" spans="1:8" x14ac:dyDescent="0.25">
      <c r="A20" s="2"/>
      <c r="B20" s="104" t="s">
        <v>155</v>
      </c>
      <c r="C20" s="30">
        <v>2016</v>
      </c>
      <c r="D20" s="30">
        <v>10</v>
      </c>
      <c r="E20" s="12">
        <v>160376</v>
      </c>
      <c r="F20" s="12">
        <f t="shared" si="0"/>
        <v>16037.6</v>
      </c>
      <c r="G20" s="23" t="s">
        <v>4</v>
      </c>
      <c r="H20" s="2"/>
    </row>
    <row r="21" spans="1:8" x14ac:dyDescent="0.25">
      <c r="A21" s="2"/>
      <c r="B21" s="104" t="s">
        <v>156</v>
      </c>
      <c r="C21" s="30">
        <v>2016</v>
      </c>
      <c r="D21" s="30">
        <v>5</v>
      </c>
      <c r="E21" s="12">
        <v>677948</v>
      </c>
      <c r="F21" s="12">
        <f t="shared" si="0"/>
        <v>135589.6</v>
      </c>
      <c r="G21" s="23" t="s">
        <v>4</v>
      </c>
      <c r="H21" s="2"/>
    </row>
    <row r="22" spans="1:8" ht="26.25" x14ac:dyDescent="0.25">
      <c r="A22" s="2"/>
      <c r="B22" s="104" t="s">
        <v>157</v>
      </c>
      <c r="C22" s="30">
        <v>2016</v>
      </c>
      <c r="D22" s="30">
        <v>20</v>
      </c>
      <c r="E22" s="12">
        <v>166686</v>
      </c>
      <c r="F22" s="12">
        <f t="shared" si="0"/>
        <v>8334.2999999999993</v>
      </c>
      <c r="G22" s="23" t="s">
        <v>4</v>
      </c>
      <c r="H22" s="2"/>
    </row>
    <row r="23" spans="1:8" x14ac:dyDescent="0.25">
      <c r="A23" s="2"/>
      <c r="B23" s="104" t="s">
        <v>158</v>
      </c>
      <c r="C23" s="30">
        <v>2016</v>
      </c>
      <c r="D23" s="30">
        <v>75</v>
      </c>
      <c r="E23" s="12">
        <v>58796159</v>
      </c>
      <c r="F23" s="12">
        <f t="shared" si="0"/>
        <v>783948.78666666662</v>
      </c>
      <c r="G23" s="23" t="s">
        <v>4</v>
      </c>
      <c r="H23" s="2"/>
    </row>
    <row r="24" spans="1:8" ht="26.25" x14ac:dyDescent="0.25">
      <c r="A24" s="2"/>
      <c r="B24" s="104" t="s">
        <v>159</v>
      </c>
      <c r="C24" s="30">
        <v>2016</v>
      </c>
      <c r="D24" s="30">
        <v>10</v>
      </c>
      <c r="E24" s="12">
        <v>39875</v>
      </c>
      <c r="F24" s="12">
        <f t="shared" si="0"/>
        <v>3987.5</v>
      </c>
      <c r="G24" s="23" t="s">
        <v>4</v>
      </c>
      <c r="H24" s="2"/>
    </row>
    <row r="25" spans="1:8" ht="26.25" x14ac:dyDescent="0.25">
      <c r="A25" s="2"/>
      <c r="B25" s="104" t="s">
        <v>160</v>
      </c>
      <c r="C25" s="30">
        <v>2016</v>
      </c>
      <c r="D25" s="30">
        <v>20</v>
      </c>
      <c r="E25" s="12">
        <v>149407</v>
      </c>
      <c r="F25" s="12">
        <f t="shared" si="0"/>
        <v>7470.35</v>
      </c>
      <c r="G25" s="23" t="s">
        <v>4</v>
      </c>
      <c r="H25" s="2"/>
    </row>
    <row r="26" spans="1:8" ht="26.25" x14ac:dyDescent="0.25">
      <c r="A26" s="2"/>
      <c r="B26" s="104" t="s">
        <v>161</v>
      </c>
      <c r="C26" s="30">
        <v>2016</v>
      </c>
      <c r="D26" s="30">
        <v>20</v>
      </c>
      <c r="E26" s="12">
        <v>76282</v>
      </c>
      <c r="F26" s="12">
        <f t="shared" si="0"/>
        <v>3814.1</v>
      </c>
      <c r="G26" s="23" t="s">
        <v>4</v>
      </c>
      <c r="H26" s="2"/>
    </row>
    <row r="27" spans="1:8" ht="26.25" x14ac:dyDescent="0.25">
      <c r="A27" s="2"/>
      <c r="B27" s="104" t="s">
        <v>160</v>
      </c>
      <c r="C27" s="30">
        <v>2016</v>
      </c>
      <c r="D27" s="30">
        <v>20</v>
      </c>
      <c r="E27" s="12">
        <v>94880</v>
      </c>
      <c r="F27" s="12">
        <f t="shared" si="0"/>
        <v>4744</v>
      </c>
      <c r="G27" s="23" t="s">
        <v>4</v>
      </c>
      <c r="H27" s="2"/>
    </row>
    <row r="28" spans="1:8" x14ac:dyDescent="0.25">
      <c r="A28" s="2"/>
      <c r="B28" s="104" t="s">
        <v>162</v>
      </c>
      <c r="C28" s="30">
        <v>2016</v>
      </c>
      <c r="D28" s="30">
        <v>10</v>
      </c>
      <c r="E28" s="12">
        <v>27545</v>
      </c>
      <c r="F28" s="12">
        <f t="shared" si="0"/>
        <v>2754.5</v>
      </c>
      <c r="G28" s="23" t="s">
        <v>4</v>
      </c>
      <c r="H28" s="2"/>
    </row>
    <row r="29" spans="1:8" x14ac:dyDescent="0.25">
      <c r="A29" s="2"/>
      <c r="B29" s="104" t="s">
        <v>163</v>
      </c>
      <c r="C29" s="30">
        <v>2016</v>
      </c>
      <c r="D29" s="30">
        <v>20</v>
      </c>
      <c r="E29" s="12">
        <v>4020</v>
      </c>
      <c r="F29" s="12">
        <f t="shared" si="0"/>
        <v>201</v>
      </c>
      <c r="G29" s="23" t="s">
        <v>4</v>
      </c>
      <c r="H29" s="2"/>
    </row>
    <row r="30" spans="1:8" x14ac:dyDescent="0.25">
      <c r="A30" s="2"/>
      <c r="B30" s="104" t="s">
        <v>158</v>
      </c>
      <c r="C30" s="30">
        <v>2016</v>
      </c>
      <c r="D30" s="30">
        <v>75</v>
      </c>
      <c r="E30" s="12">
        <v>22017</v>
      </c>
      <c r="F30" s="12">
        <f t="shared" si="0"/>
        <v>293.56</v>
      </c>
      <c r="G30" s="23" t="s">
        <v>4</v>
      </c>
      <c r="H30" s="2"/>
    </row>
    <row r="31" spans="1:8" x14ac:dyDescent="0.25">
      <c r="A31" s="2"/>
      <c r="B31" s="104" t="s">
        <v>163</v>
      </c>
      <c r="C31" s="30">
        <v>2016</v>
      </c>
      <c r="D31" s="30">
        <v>20</v>
      </c>
      <c r="E31" s="12">
        <v>25119</v>
      </c>
      <c r="F31" s="12">
        <f t="shared" si="0"/>
        <v>1255.95</v>
      </c>
      <c r="G31" s="23" t="s">
        <v>4</v>
      </c>
      <c r="H31" s="2"/>
    </row>
    <row r="32" spans="1:8" x14ac:dyDescent="0.25">
      <c r="A32" s="2"/>
      <c r="B32" s="71" t="s">
        <v>76</v>
      </c>
      <c r="C32" s="72"/>
      <c r="D32" s="72"/>
      <c r="E32" s="73"/>
      <c r="F32" s="21">
        <f>SUM(F10:F31)</f>
        <v>2464600.0466666673</v>
      </c>
      <c r="G32" s="22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2018-08-10T09:48:45Z</dcterms:modified>
</cp:coreProperties>
</file>