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31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32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<sst xmlns="http://schemas.openxmlformats.org/spreadsheetml/2006/main" count="375" uniqueCount="193">
  <si>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</si>
  <si>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</si>
  <si>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</si>
  <si>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</si>
  <si>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</si>
  <si>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</si>
  <si>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</si>
  <si>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</si>
  <si>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</si>
  <si>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</si>
  <si>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</si>
  <si>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</si>
  <si>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</si>
  <si>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</si>
  <si>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</si>
  <si>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</si>
  <si>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</si>
  <si>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</si>
  <si>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</si>
  <si>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</si>
  <si>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</si>
  <si>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</si>
  <si>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</si>
  <si>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</si>
  <si>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</si>
  <si>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</si>
  <si>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</si>
  <si>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</si>
  <si>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</si>
  <si>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</si>
  <si>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</si>
  <si>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</si>
  <si>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</si>
  <si>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</si>
  <si>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</si>
  <si>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</si>
  <si>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</si>
  <si>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</si>
  <si>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</si>
  <si>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</si>
  <si>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</si>
  <si>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</si>
  <si>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</si>
  <si>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</si>
  <si>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</si>
  <si>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</si>
  <si>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</si>
  <si>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</si>
  <si>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</si>
  <si>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</si>
  <si>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</si>
  <si>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</si>
  <si>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</si>
  <si>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</si>
  <si>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</si>
  <si>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</si>
  <si>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</si>
  <si>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</si>
  <si>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</si>
  <si>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</si>
  <si>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</si>
  <si>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</si>
  <si>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</si>
  <si>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</si>
  <si>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</si>
  <si>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</si>
  <si>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</si>
  <si>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</si>
  <si>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</si>
  <si>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</si>
  <si>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</si>
  <si>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</si>
  <si>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</si>
  <si>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</si>
  <si>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</si>
  <si>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</si>
  <si>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</si>
  <si>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</si>
  <si>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</si>
  <si>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</si>
  <si>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</si>
  <si>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</si>
  <si>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</si>
  <si>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</si>
  <si>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</si>
  <si>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</si>
  <si>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</si>
  <si>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</si>
  <si>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</si>
  <si>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</si>
  <si>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</si>
  <si>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</si>
  <si>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</si>
  <si>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</si>
  <si>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</si>
  <si>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</si>
  <si>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</si>
  <si>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</si>
  <si>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</si>
  <si>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</si>
  <si>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</si>
  <si>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</si>
  <si>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</si>
  <si>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</si>
  <si>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</si>
  <si>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</si>
  <si>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</si>
  <si>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</si>
  <si>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</si>
  <si>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</si>
  <si>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</si>
  <si>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</si>
  <si>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</si>
  <si>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</si>
  <si>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</si>
  <si>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</si>
  <si>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</si>
  <si>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</si>
  <si>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</si>
  <si>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</si>
  <si>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</si>
  <si>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</si>
  <si>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</si>
  <si>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</si>
  <si>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</si>
  <si>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</si>
  <si>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</si>
  <si>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</si>
  <si>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</si>
  <si>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</si>
  <si>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</si>
  <si>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</si>
  <si>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</si>
  <si>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</si>
  <si>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</si>
  <si>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</si>
  <si>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</si>
  <si>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</si>
  <si>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</si>
  <si>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</si>
  <si>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</si>
  <si>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</si>
  <si>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</si>
  <si>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</si>
  <si>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</si>
  <si>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</si>
  <si>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Sand- og fedtfang, Mek/EL</t>
  </si>
  <si>
    <t>Slutafvanding, slam - højteknologisk (centrifuger), Mek/El</t>
  </si>
  <si>
    <t>Efterklaringstanke, Mek/El</t>
  </si>
  <si>
    <t>Beluftningstanke, Mek/EL</t>
  </si>
  <si>
    <t>Beluftningstanke, SRO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</si>
  <si>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</si>
  <si>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</si>
  <si>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</si>
  <si>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</si>
  <si>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Ø 1000 mm &lt; Ledningsnet ≤ Ø 1200 mm</t>
  </si>
  <si>
    <t>Strømpeforing Ø 200 mm &lt; Ledningsnet ≤ Ø 500 mm</t>
  </si>
  <si>
    <t>Stik</t>
  </si>
  <si>
    <t>Brønde</t>
  </si>
  <si>
    <t>Tryksatte minipumpestationer (husstandssystemer)</t>
  </si>
  <si>
    <t>Pumpestationer m. overbygning (&lt; 20 m2), Konstruktioner</t>
  </si>
  <si>
    <t>Pumpestationer m. overbygning (&lt; 20 m2), Mek/EL</t>
  </si>
  <si>
    <t>Pumpestationer m. overbygning (&lt; 20 m2), SRO</t>
  </si>
  <si>
    <t>Indløb-/udløbsarrangement</t>
  </si>
  <si>
    <t>Jordbassin Klasse A</t>
  </si>
  <si>
    <t>Køretøjer, små lastvogne (&lt; 3.500 kg.)</t>
  </si>
  <si>
    <t>Analyseværktøj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</si>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</sst>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5" t="s">
        <v>142</v>
      </c>
      <c r="E22" s="46"/>
      <c r="F22" s="46"/>
      <c r="G22" s="47"/>
      <c r="H22" s="2"/>
      <c r="I22" s="2"/>
    </row>
    <row r="23" spans="1:9" x14ac:dyDescent="0.25">
      <c r="A23" s="2"/>
      <c r="B23" s="2"/>
      <c r="C23" s="7" t="s">
        <v>66</v>
      </c>
      <c r="D23" s="48" t="s">
        <v>65</v>
      </c>
      <c r="E23" s="49"/>
      <c r="F23" s="49"/>
      <c r="G23" s="50"/>
      <c r="H23" s="2"/>
      <c r="I23" s="2"/>
    </row>
    <row r="24" spans="1:9" x14ac:dyDescent="0.25">
      <c r="A24" s="2"/>
      <c r="B24" s="2"/>
      <c r="C24" s="7" t="s">
        <v>67</v>
      </c>
      <c r="D24" s="48" t="s">
        <v>64</v>
      </c>
      <c r="E24" s="49"/>
      <c r="F24" s="49"/>
      <c r="G24" s="50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182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3" t="s">
        <v>78</v>
      </c>
      <c r="C9" s="74"/>
      <c r="D9" s="74"/>
      <c r="E9" s="74"/>
      <c r="F9" s="75"/>
      <c r="G9" s="12">
        <v>6652076</v>
      </c>
      <c r="H9" s="23" t="s">
        <v>4</v>
      </c>
      <c r="I9" s="2"/>
    </row>
    <row r="10" spans="1:9" x14ac:dyDescent="0.25">
      <c r="A10" s="2"/>
      <c r="B10" s="73" t="s">
        <v>79</v>
      </c>
      <c r="C10" s="74"/>
      <c r="D10" s="74"/>
      <c r="E10" s="74"/>
      <c r="F10" s="75"/>
      <c r="G10" s="12">
        <v>3184500</v>
      </c>
      <c r="H10" s="23" t="s">
        <v>4</v>
      </c>
      <c r="I10" s="2"/>
    </row>
    <row r="11" spans="1:9" x14ac:dyDescent="0.25">
      <c r="A11" s="2"/>
      <c r="B11" s="83" t="s">
        <v>183</v>
      </c>
      <c r="C11" s="84"/>
      <c r="D11" s="84"/>
      <c r="E11" s="84"/>
      <c r="F11" s="85"/>
      <c r="G11" s="21">
        <f>G9-G10</f>
        <v>3467576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184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3" t="s">
        <v>80</v>
      </c>
      <c r="C15" s="74"/>
      <c r="D15" s="74"/>
      <c r="E15" s="74"/>
      <c r="F15" s="75"/>
      <c r="G15" s="12">
        <v>1096026</v>
      </c>
      <c r="H15" s="23" t="s">
        <v>4</v>
      </c>
      <c r="I15" s="2"/>
    </row>
    <row r="16" spans="1:9" x14ac:dyDescent="0.25">
      <c r="A16" s="2"/>
      <c r="B16" s="73" t="s">
        <v>81</v>
      </c>
      <c r="C16" s="74"/>
      <c r="D16" s="74"/>
      <c r="E16" s="74"/>
      <c r="F16" s="75"/>
      <c r="G16" s="12">
        <v>1040000</v>
      </c>
      <c r="H16" s="23" t="s">
        <v>4</v>
      </c>
      <c r="I16" s="2"/>
    </row>
    <row r="17" spans="1:9" x14ac:dyDescent="0.25">
      <c r="A17" s="2"/>
      <c r="B17" s="83" t="s">
        <v>184</v>
      </c>
      <c r="C17" s="84"/>
      <c r="D17" s="84"/>
      <c r="E17" s="84"/>
      <c r="F17" s="85"/>
      <c r="G17" s="21">
        <f>G15-G16</f>
        <v>56026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185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3" t="s">
        <v>82</v>
      </c>
      <c r="C21" s="74"/>
      <c r="D21" s="74"/>
      <c r="E21" s="74"/>
      <c r="F21" s="75"/>
      <c r="G21" s="12">
        <v>867434</v>
      </c>
      <c r="H21" s="23" t="s">
        <v>4</v>
      </c>
      <c r="I21" s="2"/>
    </row>
    <row r="22" spans="1:9" x14ac:dyDescent="0.25">
      <c r="A22" s="2"/>
      <c r="B22" s="73" t="s">
        <v>83</v>
      </c>
      <c r="C22" s="74"/>
      <c r="D22" s="74"/>
      <c r="E22" s="74"/>
      <c r="F22" s="75"/>
      <c r="G22" s="12">
        <v>1000000</v>
      </c>
      <c r="H22" s="23" t="s">
        <v>4</v>
      </c>
      <c r="I22" s="2"/>
    </row>
    <row r="23" spans="1:9" x14ac:dyDescent="0.25">
      <c r="A23" s="2"/>
      <c r="B23" s="83" t="s">
        <v>185</v>
      </c>
      <c r="C23" s="84"/>
      <c r="D23" s="84"/>
      <c r="E23" s="84"/>
      <c r="F23" s="85"/>
      <c r="G23" s="21">
        <f>G21-G22</f>
        <v>-132566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186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0" t="s">
        <v>84</v>
      </c>
      <c r="C27" s="71"/>
      <c r="D27" s="71"/>
      <c r="E27" s="71"/>
      <c r="F27" s="72"/>
      <c r="G27" s="12">
        <v>0</v>
      </c>
      <c r="H27" s="23" t="s">
        <v>4</v>
      </c>
      <c r="I27" s="2"/>
    </row>
    <row r="28" spans="1:9" x14ac:dyDescent="0.25">
      <c r="A28" s="2"/>
      <c r="B28" s="73" t="s">
        <v>85</v>
      </c>
      <c r="C28" s="74"/>
      <c r="D28" s="74"/>
      <c r="E28" s="74"/>
      <c r="F28" s="75"/>
      <c r="G28" s="12">
        <v>0</v>
      </c>
      <c r="H28" s="23" t="s">
        <v>4</v>
      </c>
      <c r="I28" s="2"/>
    </row>
    <row r="29" spans="1:9" ht="15" customHeight="1" x14ac:dyDescent="0.25">
      <c r="A29" s="2"/>
      <c r="B29" s="88" t="s">
        <v>186</v>
      </c>
      <c r="C29" s="89"/>
      <c r="D29" s="89"/>
      <c r="E29" s="89"/>
      <c r="F29" s="90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3" t="s">
        <v>87</v>
      </c>
      <c r="C33" s="74"/>
      <c r="D33" s="74"/>
      <c r="E33" s="74"/>
      <c r="F33" s="75"/>
      <c r="G33" s="12">
        <f>'Fane 8. Gen. inv. i 2016'!F32</f>
        <v>1132198.7399999998</v>
      </c>
      <c r="H33" s="23" t="s">
        <v>4</v>
      </c>
      <c r="I33" s="2"/>
    </row>
    <row r="34" spans="1:9" x14ac:dyDescent="0.25">
      <c r="A34" s="2"/>
      <c r="B34" s="73" t="s">
        <v>88</v>
      </c>
      <c r="C34" s="74"/>
      <c r="D34" s="74"/>
      <c r="E34" s="74"/>
      <c r="F34" s="75"/>
      <c r="G34" s="12">
        <v>900833.33333333326</v>
      </c>
      <c r="H34" s="23" t="s">
        <v>4</v>
      </c>
      <c r="I34" s="2"/>
    </row>
    <row r="35" spans="1:9" x14ac:dyDescent="0.25">
      <c r="A35" s="2"/>
      <c r="B35" s="83" t="s">
        <v>86</v>
      </c>
      <c r="C35" s="84"/>
      <c r="D35" s="84"/>
      <c r="E35" s="84"/>
      <c r="F35" s="85"/>
      <c r="G35" s="21">
        <f>G33-G34</f>
        <v>231365.4066666665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90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80" t="s">
        <v>91</v>
      </c>
      <c r="C9" s="81"/>
      <c r="D9" s="81"/>
      <c r="E9" s="81"/>
      <c r="F9" s="82"/>
      <c r="G9" s="18">
        <v>72581989.498746514</v>
      </c>
      <c r="H9" s="28" t="s">
        <v>4</v>
      </c>
      <c r="I9" s="2"/>
    </row>
    <row r="10" spans="1:9" x14ac:dyDescent="0.25">
      <c r="A10" s="2"/>
      <c r="B10" s="83" t="s">
        <v>92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3" t="s">
        <v>19</v>
      </c>
      <c r="C11" s="74"/>
      <c r="D11" s="75"/>
      <c r="E11" s="12">
        <v>49114399</v>
      </c>
      <c r="F11" s="23" t="s">
        <v>4</v>
      </c>
      <c r="G11" s="20"/>
      <c r="H11" s="31"/>
      <c r="I11" s="2"/>
    </row>
    <row r="12" spans="1:9" x14ac:dyDescent="0.25">
      <c r="A12" s="2"/>
      <c r="B12" s="73" t="s">
        <v>93</v>
      </c>
      <c r="C12" s="74"/>
      <c r="D12" s="75"/>
      <c r="E12" s="12">
        <v>5338482.0199999996</v>
      </c>
      <c r="F12" s="23" t="s">
        <v>4</v>
      </c>
      <c r="G12" s="15"/>
      <c r="H12" s="32"/>
      <c r="I12" s="2"/>
    </row>
    <row r="13" spans="1:9" x14ac:dyDescent="0.25">
      <c r="A13" s="2"/>
      <c r="B13" s="73" t="s">
        <v>94</v>
      </c>
      <c r="C13" s="74"/>
      <c r="D13" s="75"/>
      <c r="E13" s="12">
        <v>-2759423</v>
      </c>
      <c r="F13" s="23" t="s">
        <v>4</v>
      </c>
      <c r="G13" s="15"/>
      <c r="H13" s="32"/>
      <c r="I13" s="2"/>
    </row>
    <row r="14" spans="1:9" x14ac:dyDescent="0.25">
      <c r="A14" s="2"/>
      <c r="B14" s="73" t="s">
        <v>95</v>
      </c>
      <c r="C14" s="74"/>
      <c r="D14" s="75"/>
      <c r="E14" s="12">
        <v>1825833</v>
      </c>
      <c r="F14" s="23" t="s">
        <v>4</v>
      </c>
      <c r="G14" s="15"/>
      <c r="H14" s="32"/>
      <c r="I14" s="2"/>
    </row>
    <row r="15" spans="1:9" x14ac:dyDescent="0.25">
      <c r="A15" s="2"/>
      <c r="B15" s="80" t="s">
        <v>20</v>
      </c>
      <c r="C15" s="81"/>
      <c r="D15" s="82"/>
      <c r="E15" s="18">
        <f>SUM(E11:E14)</f>
        <v>53519291.019999996</v>
      </c>
      <c r="F15" s="28" t="s">
        <v>4</v>
      </c>
      <c r="G15" s="15"/>
      <c r="H15" s="32"/>
      <c r="I15" s="2"/>
    </row>
    <row r="16" spans="1:9" x14ac:dyDescent="0.25">
      <c r="A16" s="2"/>
      <c r="B16" s="73" t="s">
        <v>21</v>
      </c>
      <c r="C16" s="74"/>
      <c r="D16" s="75"/>
      <c r="E16" s="12">
        <v>11221255</v>
      </c>
      <c r="F16" s="23" t="s">
        <v>4</v>
      </c>
      <c r="G16" s="15"/>
      <c r="H16" s="32"/>
      <c r="I16" s="2"/>
    </row>
    <row r="17" spans="1:9" x14ac:dyDescent="0.25">
      <c r="A17" s="2"/>
      <c r="B17" s="73" t="s">
        <v>22</v>
      </c>
      <c r="C17" s="74"/>
      <c r="D17" s="75"/>
      <c r="E17" s="12">
        <v>219864</v>
      </c>
      <c r="F17" s="23" t="s">
        <v>4</v>
      </c>
      <c r="G17" s="15"/>
      <c r="H17" s="32"/>
      <c r="I17" s="2"/>
    </row>
    <row r="18" spans="1:9" x14ac:dyDescent="0.25">
      <c r="A18" s="2"/>
      <c r="B18" s="73" t="s">
        <v>23</v>
      </c>
      <c r="C18" s="74"/>
      <c r="D18" s="75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0" t="s">
        <v>24</v>
      </c>
      <c r="C19" s="81"/>
      <c r="D19" s="82"/>
      <c r="E19" s="18">
        <f>SUM(E16:E18)</f>
        <v>11441119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0" t="s">
        <v>25</v>
      </c>
      <c r="C20" s="71"/>
      <c r="D20" s="72"/>
      <c r="E20" s="12">
        <v>-1383082.7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0" t="s">
        <v>26</v>
      </c>
      <c r="C21" s="71"/>
      <c r="D21" s="72"/>
      <c r="E21" s="12">
        <v>-59743398</v>
      </c>
      <c r="F21" s="23" t="s">
        <v>4</v>
      </c>
      <c r="G21" s="15"/>
      <c r="H21" s="32"/>
      <c r="I21" s="2"/>
    </row>
    <row r="22" spans="1:9" x14ac:dyDescent="0.25">
      <c r="A22" s="2"/>
      <c r="B22" s="73" t="s">
        <v>27</v>
      </c>
      <c r="C22" s="74"/>
      <c r="D22" s="75"/>
      <c r="E22" s="12">
        <v>-1441421</v>
      </c>
      <c r="F22" s="23" t="s">
        <v>4</v>
      </c>
      <c r="G22" s="15"/>
      <c r="H22" s="32"/>
      <c r="I22" s="2"/>
    </row>
    <row r="23" spans="1:9" x14ac:dyDescent="0.25">
      <c r="A23" s="2"/>
      <c r="B23" s="73" t="s">
        <v>28</v>
      </c>
      <c r="C23" s="74"/>
      <c r="D23" s="75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0" t="s">
        <v>29</v>
      </c>
      <c r="C24" s="71"/>
      <c r="D24" s="72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0" t="s">
        <v>30</v>
      </c>
      <c r="C25" s="71"/>
      <c r="D25" s="72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0" t="s">
        <v>31</v>
      </c>
      <c r="C26" s="71"/>
      <c r="D26" s="72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0" t="s">
        <v>32</v>
      </c>
      <c r="C27" s="81"/>
      <c r="D27" s="82"/>
      <c r="E27" s="18">
        <f>SUM(E20:E26)</f>
        <v>-62567901.700000003</v>
      </c>
      <c r="F27" s="28" t="s">
        <v>4</v>
      </c>
      <c r="G27" s="16"/>
      <c r="H27" s="33"/>
      <c r="I27" s="2"/>
    </row>
    <row r="28" spans="1:9" x14ac:dyDescent="0.25">
      <c r="A28" s="2"/>
      <c r="B28" s="80" t="s">
        <v>33</v>
      </c>
      <c r="C28" s="81"/>
      <c r="D28" s="82"/>
      <c r="E28" s="18">
        <f>E15+E19+E27</f>
        <v>2392508.3199999928</v>
      </c>
      <c r="F28" s="28" t="s">
        <v>4</v>
      </c>
      <c r="G28" s="1">
        <f>IF(E28&lt;0,0,-E28)</f>
        <v>-2392508.3199999928</v>
      </c>
      <c r="H28" s="28" t="s">
        <v>4</v>
      </c>
      <c r="I28" s="2"/>
    </row>
    <row r="29" spans="1:9" x14ac:dyDescent="0.25">
      <c r="A29" s="2"/>
      <c r="B29" s="83" t="s">
        <v>96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80" t="s">
        <v>96</v>
      </c>
      <c r="C30" s="81"/>
      <c r="D30" s="82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99" t="s">
        <v>57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70" t="s">
        <v>58</v>
      </c>
      <c r="C32" s="71"/>
      <c r="D32" s="72"/>
      <c r="E32" s="12">
        <v>67135628.299999997</v>
      </c>
      <c r="F32" s="23" t="s">
        <v>4</v>
      </c>
      <c r="G32" s="20"/>
      <c r="H32" s="31"/>
      <c r="I32" s="2"/>
    </row>
    <row r="33" spans="1:9" x14ac:dyDescent="0.25">
      <c r="A33" s="2"/>
      <c r="B33" s="73" t="s">
        <v>34</v>
      </c>
      <c r="C33" s="74"/>
      <c r="D33" s="75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0" t="s">
        <v>35</v>
      </c>
      <c r="C34" s="71"/>
      <c r="D34" s="72"/>
      <c r="E34" s="12">
        <v>4114545.56</v>
      </c>
      <c r="F34" s="23" t="s">
        <v>4</v>
      </c>
      <c r="G34" s="16"/>
      <c r="H34" s="33"/>
      <c r="I34" s="2"/>
    </row>
    <row r="35" spans="1:9" x14ac:dyDescent="0.25">
      <c r="A35" s="2"/>
      <c r="B35" s="80" t="s">
        <v>36</v>
      </c>
      <c r="C35" s="81"/>
      <c r="D35" s="82"/>
      <c r="E35" s="18">
        <f>SUM(E32:E34)</f>
        <v>71250173.859999999</v>
      </c>
      <c r="F35" s="28" t="s">
        <v>4</v>
      </c>
      <c r="G35" s="18">
        <f>-E35</f>
        <v>-71250173.859999999</v>
      </c>
      <c r="H35" s="28" t="s">
        <v>4</v>
      </c>
      <c r="I35" s="2"/>
    </row>
    <row r="36" spans="1:9" x14ac:dyDescent="0.25">
      <c r="A36" s="2"/>
      <c r="B36" s="83" t="s">
        <v>97</v>
      </c>
      <c r="C36" s="84"/>
      <c r="D36" s="84"/>
      <c r="E36" s="84"/>
      <c r="F36" s="85"/>
      <c r="G36" s="21">
        <f>$G$9+$G$28+$G$30+$G$35</f>
        <v>-1060692.6812534779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126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116</v>
      </c>
      <c r="C9" s="78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2" t="s">
        <v>180</v>
      </c>
      <c r="C10" s="103"/>
      <c r="D10" s="104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133</v>
      </c>
      <c r="C11" s="84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3" t="s">
        <v>145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175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192</v>
      </c>
      <c r="C16" s="77"/>
      <c r="D16" s="77"/>
      <c r="E16" s="78"/>
      <c r="F16" s="98" t="s">
        <v>176</v>
      </c>
      <c r="G16" s="98"/>
      <c r="H16" s="2"/>
    </row>
    <row r="17" spans="1:8" x14ac:dyDescent="0.25">
      <c r="A17" s="2"/>
      <c r="B17" s="73" t="s">
        <v>188</v>
      </c>
      <c r="C17" s="74"/>
      <c r="D17" s="74"/>
      <c r="E17" s="75"/>
      <c r="F17" s="12">
        <v>0</v>
      </c>
      <c r="G17" s="23" t="s">
        <v>4</v>
      </c>
      <c r="H17" s="2"/>
    </row>
    <row r="18" spans="1:8" x14ac:dyDescent="0.25">
      <c r="A18" s="2"/>
      <c r="B18" s="83" t="s">
        <v>177</v>
      </c>
      <c r="C18" s="84"/>
      <c r="D18" s="84"/>
      <c r="E18" s="85"/>
      <c r="F18" s="21">
        <f>SUM(F17:F17)</f>
        <v>0</v>
      </c>
      <c r="G18" s="22" t="s">
        <v>4</v>
      </c>
      <c r="H18" s="2"/>
    </row>
    <row r="19" spans="1:8" x14ac:dyDescent="0.25">
      <c r="A19" s="2"/>
      <c r="B19" s="83" t="s">
        <v>178</v>
      </c>
      <c r="C19" s="84"/>
      <c r="D19" s="84"/>
      <c r="E19" s="85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117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5" t="s">
        <v>187</v>
      </c>
      <c r="C10" s="106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128</v>
      </c>
      <c r="C11" s="85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3" t="s">
        <v>144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109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ht="15" customHeight="1" x14ac:dyDescent="0.25">
      <c r="A9" s="2"/>
      <c r="B9" s="70" t="s">
        <v>60</v>
      </c>
      <c r="C9" s="71"/>
      <c r="D9" s="72"/>
      <c r="E9" s="8">
        <f>'Fane 3. Korrigeret grundlag'!G12</f>
        <v>92524679.327307001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74"/>
      <c r="D10" s="75"/>
      <c r="E10" s="12">
        <f>'Fane 3. Korrigeret grundlag'!G11</f>
        <v>4603473.21546268</v>
      </c>
      <c r="F10" s="9" t="s">
        <v>4</v>
      </c>
      <c r="G10" s="13"/>
      <c r="H10" s="14"/>
      <c r="I10" s="2"/>
    </row>
    <row r="11" spans="1:9" x14ac:dyDescent="0.25">
      <c r="A11" s="2"/>
      <c r="B11" s="79" t="s">
        <v>121</v>
      </c>
      <c r="C11" s="74"/>
      <c r="D11" s="75"/>
      <c r="E11" s="12">
        <f>'Fane 4. Ikke-påvirkelige omk.'!G19</f>
        <v>2025983.6390530001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190</v>
      </c>
      <c r="C12" s="38"/>
      <c r="D12" s="39"/>
      <c r="E12" s="12">
        <f>'Fane 5. Individuelt eff.krav'!G10</f>
        <v>-1647658.410787168</v>
      </c>
      <c r="F12" s="9" t="s">
        <v>4</v>
      </c>
      <c r="G12" s="13"/>
      <c r="H12" s="14"/>
      <c r="I12" s="2"/>
    </row>
    <row r="13" spans="1:9" x14ac:dyDescent="0.25">
      <c r="A13" s="2"/>
      <c r="B13" s="70" t="s">
        <v>129</v>
      </c>
      <c r="C13" s="71"/>
      <c r="D13" s="72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0" t="s">
        <v>130</v>
      </c>
      <c r="C14" s="71"/>
      <c r="D14" s="72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0" t="s">
        <v>175</v>
      </c>
      <c r="C15" s="71"/>
      <c r="D15" s="72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70" t="s">
        <v>131</v>
      </c>
      <c r="C16" s="71"/>
      <c r="D16" s="72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0" t="s">
        <v>132</v>
      </c>
      <c r="C17" s="71"/>
      <c r="D17" s="72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7" t="s">
        <v>124</v>
      </c>
      <c r="C18" s="38"/>
      <c r="D18" s="39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79" t="s">
        <v>123</v>
      </c>
      <c r="C19" s="74"/>
      <c r="D19" s="75"/>
      <c r="E19" s="12">
        <f>SUM(E9,E11:E17)*(E18/100)</f>
        <v>1625802.5797225249</v>
      </c>
      <c r="F19" s="9" t="s">
        <v>4</v>
      </c>
      <c r="G19" s="13"/>
      <c r="H19" s="14"/>
      <c r="I19" s="2"/>
    </row>
    <row r="20" spans="1:9" x14ac:dyDescent="0.25">
      <c r="A20" s="2"/>
      <c r="B20" s="73" t="s">
        <v>15</v>
      </c>
      <c r="C20" s="74"/>
      <c r="D20" s="75"/>
      <c r="E20" s="12">
        <f>'Fane 5. Individuelt eff.krav'!G12</f>
        <v>1289430.8515907854</v>
      </c>
      <c r="F20" s="9" t="s">
        <v>4</v>
      </c>
      <c r="G20" s="15"/>
      <c r="H20" s="14"/>
      <c r="I20" s="2"/>
    </row>
    <row r="21" spans="1:9" x14ac:dyDescent="0.25">
      <c r="A21" s="2"/>
      <c r="B21" s="73" t="s">
        <v>16</v>
      </c>
      <c r="C21" s="74"/>
      <c r="D21" s="75"/>
      <c r="E21" s="12">
        <f>'Fane 6. Generelt eff.krav'!G17</f>
        <v>1621313.3476072336</v>
      </c>
      <c r="F21" s="9" t="s">
        <v>4</v>
      </c>
      <c r="G21" s="16"/>
      <c r="H21" s="17"/>
      <c r="I21" s="2"/>
    </row>
    <row r="22" spans="1:9" x14ac:dyDescent="0.25">
      <c r="A22" s="2"/>
      <c r="B22" s="80" t="s">
        <v>181</v>
      </c>
      <c r="C22" s="81"/>
      <c r="D22" s="82"/>
      <c r="E22" s="18">
        <f>SUM(E9,E11:E17,E19)-SUM(E20:E21)</f>
        <v>91618062.936097339</v>
      </c>
      <c r="F22" s="19" t="s">
        <v>4</v>
      </c>
      <c r="G22" s="18">
        <f>E22</f>
        <v>91618062.936097339</v>
      </c>
      <c r="H22" s="19" t="s">
        <v>4</v>
      </c>
      <c r="I22" s="2"/>
    </row>
    <row r="23" spans="1:9" x14ac:dyDescent="0.25">
      <c r="A23" s="2"/>
      <c r="B23" s="83" t="s">
        <v>17</v>
      </c>
      <c r="C23" s="84"/>
      <c r="D23" s="84"/>
      <c r="E23" s="84"/>
      <c r="F23" s="84"/>
      <c r="G23" s="84"/>
      <c r="H23" s="85"/>
      <c r="I23" s="2"/>
    </row>
    <row r="24" spans="1:9" x14ac:dyDescent="0.25">
      <c r="A24" s="2"/>
      <c r="B24" s="76" t="s">
        <v>55</v>
      </c>
      <c r="C24" s="77"/>
      <c r="D24" s="78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83" t="s">
        <v>98</v>
      </c>
      <c r="C25" s="84"/>
      <c r="D25" s="84"/>
      <c r="E25" s="84"/>
      <c r="F25" s="84"/>
      <c r="G25" s="84"/>
      <c r="H25" s="85"/>
      <c r="I25" s="2"/>
    </row>
    <row r="26" spans="1:9" x14ac:dyDescent="0.25">
      <c r="A26" s="2"/>
      <c r="B26" s="70" t="s">
        <v>105</v>
      </c>
      <c r="C26" s="71"/>
      <c r="D26" s="72"/>
      <c r="E26" s="12">
        <f>'Fane 9. Korrektion af PL2016'!G11</f>
        <v>3467576</v>
      </c>
      <c r="F26" s="9" t="s">
        <v>4</v>
      </c>
      <c r="G26" s="20"/>
      <c r="H26" s="11"/>
      <c r="I26" s="2"/>
    </row>
    <row r="27" spans="1:9" x14ac:dyDescent="0.25">
      <c r="A27" s="2"/>
      <c r="B27" s="70" t="s">
        <v>99</v>
      </c>
      <c r="C27" s="71"/>
      <c r="D27" s="72"/>
      <c r="E27" s="12">
        <f>'Fane 9. Korrektion af PL2016'!G17</f>
        <v>56026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70" t="s">
        <v>100</v>
      </c>
      <c r="C28" s="71"/>
      <c r="D28" s="72"/>
      <c r="E28" s="12">
        <f>'Fane 9. Korrektion af PL2016'!G23</f>
        <v>-132566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70" t="s">
        <v>101</v>
      </c>
      <c r="C29" s="71"/>
      <c r="D29" s="72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70" t="s">
        <v>102</v>
      </c>
      <c r="C30" s="71"/>
      <c r="D30" s="72"/>
      <c r="E30" s="12">
        <f>'Fane 9. Korrektion af PL2016'!G35</f>
        <v>231365.4066666665</v>
      </c>
      <c r="F30" s="9" t="s">
        <v>4</v>
      </c>
      <c r="G30" s="15"/>
      <c r="H30" s="14"/>
      <c r="I30" s="2"/>
    </row>
    <row r="31" spans="1:9" x14ac:dyDescent="0.25">
      <c r="A31" s="2"/>
      <c r="B31" s="76" t="s">
        <v>103</v>
      </c>
      <c r="C31" s="77"/>
      <c r="D31" s="78"/>
      <c r="E31" s="18">
        <f>SUM(E26:E30)</f>
        <v>3622401.4066666663</v>
      </c>
      <c r="F31" s="19" t="s">
        <v>4</v>
      </c>
      <c r="G31" s="18">
        <f>E31</f>
        <v>3622401.4066666663</v>
      </c>
      <c r="H31" s="19" t="s">
        <v>4</v>
      </c>
      <c r="I31" s="2"/>
    </row>
    <row r="32" spans="1:9" x14ac:dyDescent="0.25">
      <c r="A32" s="2"/>
      <c r="B32" s="83" t="s">
        <v>18</v>
      </c>
      <c r="C32" s="84"/>
      <c r="D32" s="84"/>
      <c r="E32" s="84"/>
      <c r="F32" s="84"/>
      <c r="G32" s="84"/>
      <c r="H32" s="85"/>
      <c r="I32" s="2"/>
    </row>
    <row r="33" spans="1:9" x14ac:dyDescent="0.25">
      <c r="A33" s="2"/>
      <c r="B33" s="76" t="s">
        <v>104</v>
      </c>
      <c r="C33" s="77"/>
      <c r="D33" s="78"/>
      <c r="E33" s="18">
        <f>'Fane 10. Kontrol af PL2016'!G36</f>
        <v>-1060692.6812534779</v>
      </c>
      <c r="F33" s="19" t="s">
        <v>4</v>
      </c>
      <c r="G33" s="18">
        <f>E33</f>
        <v>-1060692.6812534779</v>
      </c>
      <c r="H33" s="19" t="s">
        <v>4</v>
      </c>
      <c r="I33" s="2"/>
    </row>
    <row r="34" spans="1:9" x14ac:dyDescent="0.25">
      <c r="A34" s="2"/>
      <c r="B34" s="83" t="s">
        <v>62</v>
      </c>
      <c r="C34" s="84"/>
      <c r="D34" s="84"/>
      <c r="E34" s="84"/>
      <c r="F34" s="85"/>
      <c r="G34" s="21">
        <f>G22+G24+G31+G33</f>
        <v>94179771.661510527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108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106</v>
      </c>
      <c r="C9" s="71"/>
      <c r="D9" s="72"/>
      <c r="E9" s="8">
        <f>'Fane 2.1. Økonomisk ramme 2018'!G22</f>
        <v>91618062.936097339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2018'!E18/100)</f>
        <v>6745472.3494697046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1603316.1013817033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1268492.3672785321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1619324.1820098872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181</v>
      </c>
      <c r="C14" s="81"/>
      <c r="D14" s="82"/>
      <c r="E14" s="18">
        <f>$E$9+$E$11-$E$12-$E$13</f>
        <v>90333562.488190621</v>
      </c>
      <c r="F14" s="19" t="s">
        <v>4</v>
      </c>
      <c r="G14" s="18">
        <f>E14</f>
        <v>90333562.488190621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83" t="s">
        <v>107</v>
      </c>
      <c r="C17" s="84"/>
      <c r="D17" s="84"/>
      <c r="E17" s="84"/>
      <c r="F17" s="85"/>
      <c r="G17" s="21">
        <f>G14+G16</f>
        <v>90333562.488190621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141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110</v>
      </c>
      <c r="C9" s="74"/>
      <c r="D9" s="74"/>
      <c r="E9" s="74"/>
      <c r="F9" s="75"/>
      <c r="G9" s="12">
        <v>24912387.294980869</v>
      </c>
      <c r="H9" s="23" t="s">
        <v>4</v>
      </c>
      <c r="I9" s="2"/>
    </row>
    <row r="10" spans="1:9" x14ac:dyDescent="0.25">
      <c r="A10" s="2"/>
      <c r="B10" s="73" t="s">
        <v>111</v>
      </c>
      <c r="C10" s="74"/>
      <c r="D10" s="74"/>
      <c r="E10" s="74"/>
      <c r="F10" s="75"/>
      <c r="G10" s="12">
        <v>63008818.816863447</v>
      </c>
      <c r="H10" s="23" t="s">
        <v>4</v>
      </c>
      <c r="I10" s="2"/>
    </row>
    <row r="11" spans="1:9" x14ac:dyDescent="0.25">
      <c r="A11" s="2"/>
      <c r="B11" s="73" t="s">
        <v>138</v>
      </c>
      <c r="C11" s="74"/>
      <c r="D11" s="74"/>
      <c r="E11" s="74"/>
      <c r="F11" s="75"/>
      <c r="G11" s="12">
        <v>4603473.21546268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92524679.327307001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113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115</v>
      </c>
      <c r="C9" s="77"/>
      <c r="D9" s="78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73" t="s">
        <v>167</v>
      </c>
      <c r="C10" s="74"/>
      <c r="D10" s="74"/>
      <c r="E10" s="100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3" t="s">
        <v>168</v>
      </c>
      <c r="C11" s="74"/>
      <c r="D11" s="74"/>
      <c r="E11" s="100">
        <v>159969.796</v>
      </c>
      <c r="F11" s="23" t="s">
        <v>4</v>
      </c>
      <c r="G11" s="12">
        <v>212663</v>
      </c>
      <c r="H11" s="23" t="s">
        <v>4</v>
      </c>
      <c r="I11" s="2"/>
    </row>
    <row r="12" spans="1:9" x14ac:dyDescent="0.25">
      <c r="A12" s="2"/>
      <c r="B12" s="73" t="s">
        <v>169</v>
      </c>
      <c r="C12" s="74"/>
      <c r="D12" s="74"/>
      <c r="E12" s="100">
        <v>2400847.9772000001</v>
      </c>
      <c r="F12" s="23" t="s">
        <v>4</v>
      </c>
      <c r="G12" s="12">
        <v>4148996</v>
      </c>
      <c r="H12" s="23" t="s">
        <v>4</v>
      </c>
      <c r="I12" s="2"/>
    </row>
    <row r="13" spans="1:9" x14ac:dyDescent="0.25">
      <c r="A13" s="2"/>
      <c r="B13" s="73" t="s">
        <v>170</v>
      </c>
      <c r="C13" s="74"/>
      <c r="D13" s="74"/>
      <c r="E13" s="100">
        <v>32399.4126</v>
      </c>
      <c r="F13" s="23" t="s">
        <v>4</v>
      </c>
      <c r="G13" s="12">
        <v>51309</v>
      </c>
      <c r="H13" s="23" t="s">
        <v>4</v>
      </c>
      <c r="I13" s="2"/>
    </row>
    <row r="14" spans="1:9" x14ac:dyDescent="0.25">
      <c r="A14" s="2"/>
      <c r="B14" s="73" t="s">
        <v>171</v>
      </c>
      <c r="C14" s="74"/>
      <c r="D14" s="74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3" t="s">
        <v>172</v>
      </c>
      <c r="C15" s="74"/>
      <c r="D15" s="74"/>
      <c r="E15" s="100">
        <v>648815.098</v>
      </c>
      <c r="F15" s="23" t="s">
        <v>4</v>
      </c>
      <c r="G15" s="12">
        <v>862742</v>
      </c>
      <c r="H15" s="23" t="s">
        <v>4</v>
      </c>
      <c r="I15" s="2"/>
    </row>
    <row r="16" spans="1:9" x14ac:dyDescent="0.25">
      <c r="A16" s="2"/>
      <c r="B16" s="73" t="s">
        <v>173</v>
      </c>
      <c r="C16" s="74"/>
      <c r="D16" s="74"/>
      <c r="E16" s="100">
        <v>1303710.0045999999</v>
      </c>
      <c r="F16" s="23" t="s">
        <v>4</v>
      </c>
      <c r="G16" s="12">
        <v>1261171</v>
      </c>
      <c r="H16" s="23" t="s">
        <v>4</v>
      </c>
      <c r="I16" s="2"/>
    </row>
    <row r="17" spans="1:9" x14ac:dyDescent="0.25">
      <c r="A17" s="2"/>
      <c r="B17" s="73" t="s">
        <v>174</v>
      </c>
      <c r="C17" s="74"/>
      <c r="D17" s="74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83" t="s">
        <v>134</v>
      </c>
      <c r="C18" s="84"/>
      <c r="D18" s="84"/>
      <c r="E18" s="84"/>
      <c r="F18" s="85"/>
      <c r="G18" s="21">
        <f>SUM(G10:G17)-SUM(E10:E17)</f>
        <v>1991138.7116</v>
      </c>
      <c r="H18" s="22" t="s">
        <v>4</v>
      </c>
      <c r="I18" s="2"/>
    </row>
    <row r="19" spans="1:9" x14ac:dyDescent="0.25">
      <c r="A19" s="2"/>
      <c r="B19" s="83" t="s">
        <v>135</v>
      </c>
      <c r="C19" s="84"/>
      <c r="D19" s="84"/>
      <c r="E19" s="84"/>
      <c r="F19" s="85"/>
      <c r="G19" s="21">
        <f>G18*(1+'Fane 2.1. Økonomisk ramme 2018'!E18/100)</f>
        <v>2025983.6390530001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51</v>
      </c>
      <c r="C9" s="74"/>
      <c r="D9" s="74"/>
      <c r="E9" s="74"/>
      <c r="F9" s="75"/>
      <c r="G9" s="12">
        <f>'Fane 3. Korrigeret grundlag'!G12-'Fane 3. Korrigeret grundlag'!G11+SUM('Fane 2.1. Økonomisk ramme 2018'!E13:E14,'Fane 2.1. Økonomisk ramme 2018'!E16:E17)</f>
        <v>87921206.111844316</v>
      </c>
      <c r="H9" s="23" t="s">
        <v>4</v>
      </c>
      <c r="I9" s="2"/>
    </row>
    <row r="10" spans="1:9" x14ac:dyDescent="0.25">
      <c r="A10" s="2"/>
      <c r="B10" s="40" t="s">
        <v>190</v>
      </c>
      <c r="C10" s="38"/>
      <c r="D10" s="38"/>
      <c r="E10" s="38"/>
      <c r="F10" s="39"/>
      <c r="G10" s="12">
        <v>-1647658.410787168</v>
      </c>
      <c r="H10" s="23" t="s">
        <v>4</v>
      </c>
      <c r="I10" s="2"/>
    </row>
    <row r="11" spans="1:9" x14ac:dyDescent="0.25">
      <c r="A11" s="2"/>
      <c r="B11" s="73" t="s">
        <v>37</v>
      </c>
      <c r="C11" s="74"/>
      <c r="D11" s="74"/>
      <c r="E11" s="74"/>
      <c r="F11" s="75"/>
      <c r="G11" s="26">
        <v>1.4688788649198019</v>
      </c>
      <c r="H11" s="23" t="s">
        <v>38</v>
      </c>
      <c r="I11" s="2"/>
    </row>
    <row r="12" spans="1:9" x14ac:dyDescent="0.25">
      <c r="A12" s="2"/>
      <c r="B12" s="83" t="s">
        <v>15</v>
      </c>
      <c r="C12" s="84"/>
      <c r="D12" s="84"/>
      <c r="E12" s="84"/>
      <c r="F12" s="85"/>
      <c r="G12" s="21">
        <f>($G$9+G10)*(1+'Fane 2.1. Økonomisk ramme 2018'!E18/100)*($G$11/100)</f>
        <v>1289430.8515907854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53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2018'!E16))</f>
        <v>24912387.294980869</v>
      </c>
      <c r="H9" s="23" t="s">
        <v>4</v>
      </c>
      <c r="I9" s="2"/>
    </row>
    <row r="10" spans="1:9" x14ac:dyDescent="0.25">
      <c r="A10" s="2"/>
      <c r="B10" s="41" t="s">
        <v>189</v>
      </c>
      <c r="C10" s="42"/>
      <c r="D10" s="42"/>
      <c r="E10" s="42"/>
      <c r="F10" s="43"/>
      <c r="G10" s="12">
        <v>-498247.74</v>
      </c>
      <c r="H10" s="23" t="s">
        <v>4</v>
      </c>
      <c r="I10" s="2"/>
    </row>
    <row r="11" spans="1:9" x14ac:dyDescent="0.25">
      <c r="A11" s="2"/>
      <c r="B11" s="73" t="s">
        <v>16</v>
      </c>
      <c r="C11" s="74"/>
      <c r="D11" s="74"/>
      <c r="E11" s="74"/>
      <c r="F11" s="75"/>
      <c r="G11" s="27">
        <f>2</f>
        <v>2</v>
      </c>
      <c r="H11" s="23" t="s">
        <v>38</v>
      </c>
      <c r="I11" s="2"/>
    </row>
    <row r="12" spans="1:9" x14ac:dyDescent="0.25">
      <c r="A12" s="2"/>
      <c r="B12" s="80" t="s">
        <v>39</v>
      </c>
      <c r="C12" s="81"/>
      <c r="D12" s="81"/>
      <c r="E12" s="81"/>
      <c r="F12" s="82"/>
      <c r="G12" s="18">
        <f>($G$9+$G$10)*(1+'Fane 2.1. Økonomisk ramme 2018'!E18/100)*$G$11/100</f>
        <v>496827.7399438608</v>
      </c>
      <c r="H12" s="28" t="s">
        <v>4</v>
      </c>
      <c r="I12" s="2"/>
    </row>
    <row r="13" spans="1:9" x14ac:dyDescent="0.25">
      <c r="A13" s="2"/>
      <c r="B13" s="73" t="s">
        <v>48</v>
      </c>
      <c r="C13" s="74"/>
      <c r="D13" s="74"/>
      <c r="E13" s="74"/>
      <c r="F13" s="75"/>
      <c r="G13" s="12">
        <f xml:space="preserve"> 'Fane 3. Korrigeret grundlag'!G10+SUM('Fane 2.1. Økonomisk ramme 2018'!E14,'Fane 2.1. Økonomisk ramme 2018'!E17)</f>
        <v>63008818.816863447</v>
      </c>
      <c r="H13" s="23" t="s">
        <v>4</v>
      </c>
      <c r="I13" s="2"/>
    </row>
    <row r="14" spans="1:9" x14ac:dyDescent="0.25">
      <c r="A14" s="2"/>
      <c r="B14" s="40" t="s">
        <v>191</v>
      </c>
      <c r="C14" s="38"/>
      <c r="D14" s="38"/>
      <c r="E14" s="38"/>
      <c r="F14" s="39"/>
      <c r="G14" s="12">
        <v>-571216.5368</v>
      </c>
      <c r="H14" s="23" t="s">
        <v>4</v>
      </c>
      <c r="I14" s="2"/>
    </row>
    <row r="15" spans="1:9" x14ac:dyDescent="0.25">
      <c r="A15" s="2"/>
      <c r="B15" s="73" t="s">
        <v>16</v>
      </c>
      <c r="C15" s="74"/>
      <c r="D15" s="74"/>
      <c r="E15" s="74"/>
      <c r="F15" s="75"/>
      <c r="G15" s="26">
        <v>1.77</v>
      </c>
      <c r="H15" s="23" t="s">
        <v>38</v>
      </c>
      <c r="I15" s="2"/>
    </row>
    <row r="16" spans="1:9" x14ac:dyDescent="0.25">
      <c r="A16" s="2"/>
      <c r="B16" s="80" t="s">
        <v>40</v>
      </c>
      <c r="C16" s="81"/>
      <c r="D16" s="81"/>
      <c r="E16" s="81"/>
      <c r="F16" s="82"/>
      <c r="G16" s="18">
        <f>($G$13+$G$14)*(1+'Fane 2.1. Økonomisk ramme 2018'!E18/100)*$G$15/100</f>
        <v>1124485.6076633728</v>
      </c>
      <c r="H16" s="28" t="s">
        <v>4</v>
      </c>
      <c r="I16" s="2"/>
    </row>
    <row r="17" spans="1:9" x14ac:dyDescent="0.25">
      <c r="A17" s="2"/>
      <c r="B17" s="83" t="s">
        <v>52</v>
      </c>
      <c r="C17" s="84"/>
      <c r="D17" s="84"/>
      <c r="E17" s="84"/>
      <c r="F17" s="85"/>
      <c r="G17" s="21">
        <f>G12+G16</f>
        <v>1621313.3476072336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73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42</v>
      </c>
      <c r="C9" s="74"/>
      <c r="D9" s="74"/>
      <c r="E9" s="74"/>
      <c r="F9" s="75"/>
      <c r="G9" s="12">
        <v>-6884085</v>
      </c>
      <c r="H9" s="23" t="s">
        <v>4</v>
      </c>
      <c r="I9" s="2"/>
    </row>
    <row r="10" spans="1:9" x14ac:dyDescent="0.25">
      <c r="A10" s="2"/>
      <c r="B10" s="73" t="s">
        <v>120</v>
      </c>
      <c r="C10" s="74"/>
      <c r="D10" s="74"/>
      <c r="E10" s="74"/>
      <c r="F10" s="75"/>
      <c r="G10" s="12">
        <v>-6884084.7666666666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-0.2333333333954215</v>
      </c>
      <c r="H11" s="29" t="s">
        <v>4</v>
      </c>
      <c r="I11" s="2"/>
    </row>
    <row r="12" spans="1:9" x14ac:dyDescent="0.25">
      <c r="A12" s="2"/>
      <c r="B12" s="73" t="s">
        <v>43</v>
      </c>
      <c r="C12" s="74"/>
      <c r="D12" s="74"/>
      <c r="E12" s="74"/>
      <c r="F12" s="75"/>
      <c r="G12" s="12">
        <v>0</v>
      </c>
      <c r="H12" s="23" t="s">
        <v>125</v>
      </c>
      <c r="I12" s="2"/>
    </row>
    <row r="13" spans="1:9" x14ac:dyDescent="0.25">
      <c r="A13" s="2"/>
      <c r="B13" s="83" t="s">
        <v>41</v>
      </c>
      <c r="C13" s="84"/>
      <c r="D13" s="84"/>
      <c r="E13" s="84"/>
      <c r="F13" s="85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74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75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x14ac:dyDescent="0.25">
      <c r="A10" s="2"/>
      <c r="B10" s="101" t="s">
        <v>146</v>
      </c>
      <c r="C10" s="30">
        <v>2016</v>
      </c>
      <c r="D10" s="30">
        <v>20</v>
      </c>
      <c r="E10" s="12">
        <v>283260</v>
      </c>
      <c r="F10" s="12">
        <f>E10/D10</f>
        <v>14163</v>
      </c>
      <c r="G10" s="23" t="s">
        <v>4</v>
      </c>
      <c r="H10" s="2"/>
    </row>
    <row r="11" spans="1:8" ht="26.25" x14ac:dyDescent="0.25">
      <c r="A11" s="2"/>
      <c r="B11" s="101" t="s">
        <v>147</v>
      </c>
      <c r="C11" s="30">
        <v>2016</v>
      </c>
      <c r="D11" s="30">
        <v>20</v>
      </c>
      <c r="E11" s="12">
        <v>3102893</v>
      </c>
      <c r="F11" s="12">
        <f t="shared" ref="F11:F31" si="0">E11/D11</f>
        <v>155144.65</v>
      </c>
      <c r="G11" s="23" t="s">
        <v>4</v>
      </c>
      <c r="H11" s="2"/>
    </row>
    <row r="12" spans="1:8" x14ac:dyDescent="0.25">
      <c r="A12" s="2"/>
      <c r="B12" s="101" t="s">
        <v>148</v>
      </c>
      <c r="C12" s="30">
        <v>2016</v>
      </c>
      <c r="D12" s="30">
        <v>20</v>
      </c>
      <c r="E12" s="12">
        <v>227888</v>
      </c>
      <c r="F12" s="12">
        <f t="shared" si="0"/>
        <v>11394.4</v>
      </c>
      <c r="G12" s="23" t="s">
        <v>4</v>
      </c>
      <c r="H12" s="2"/>
    </row>
    <row r="13" spans="1:8" x14ac:dyDescent="0.25">
      <c r="A13" s="2"/>
      <c r="B13" s="101" t="s">
        <v>149</v>
      </c>
      <c r="C13" s="30">
        <v>2016</v>
      </c>
      <c r="D13" s="30">
        <v>20</v>
      </c>
      <c r="E13" s="12">
        <v>357911</v>
      </c>
      <c r="F13" s="12">
        <f t="shared" si="0"/>
        <v>17895.55</v>
      </c>
      <c r="G13" s="23" t="s">
        <v>4</v>
      </c>
      <c r="H13" s="2"/>
    </row>
    <row r="14" spans="1:8" x14ac:dyDescent="0.25">
      <c r="A14" s="2"/>
      <c r="B14" s="101" t="s">
        <v>146</v>
      </c>
      <c r="C14" s="30">
        <v>2016</v>
      </c>
      <c r="D14" s="30">
        <v>20</v>
      </c>
      <c r="E14" s="12">
        <v>162906</v>
      </c>
      <c r="F14" s="12">
        <f t="shared" si="0"/>
        <v>8145.3</v>
      </c>
      <c r="G14" s="23" t="s">
        <v>4</v>
      </c>
      <c r="H14" s="2"/>
    </row>
    <row r="15" spans="1:8" x14ac:dyDescent="0.25">
      <c r="A15" s="2"/>
      <c r="B15" s="101" t="s">
        <v>150</v>
      </c>
      <c r="C15" s="30">
        <v>2016</v>
      </c>
      <c r="D15" s="30">
        <v>10</v>
      </c>
      <c r="E15" s="12">
        <v>544683</v>
      </c>
      <c r="F15" s="12">
        <f t="shared" si="0"/>
        <v>54468.3</v>
      </c>
      <c r="G15" s="23" t="s">
        <v>4</v>
      </c>
      <c r="H15" s="2"/>
    </row>
    <row r="16" spans="1:8" x14ac:dyDescent="0.25">
      <c r="A16" s="2"/>
      <c r="B16" s="101" t="s">
        <v>151</v>
      </c>
      <c r="C16" s="30">
        <v>2016</v>
      </c>
      <c r="D16" s="30">
        <v>75</v>
      </c>
      <c r="E16" s="12">
        <v>1300000</v>
      </c>
      <c r="F16" s="12">
        <f t="shared" si="0"/>
        <v>17333.333333333332</v>
      </c>
      <c r="G16" s="23" t="s">
        <v>4</v>
      </c>
      <c r="H16" s="2"/>
    </row>
    <row r="17" spans="1:8" x14ac:dyDescent="0.25">
      <c r="A17" s="2"/>
      <c r="B17" s="101" t="s">
        <v>152</v>
      </c>
      <c r="C17" s="30">
        <v>2016</v>
      </c>
      <c r="D17" s="30">
        <v>75</v>
      </c>
      <c r="E17" s="12">
        <v>26000000</v>
      </c>
      <c r="F17" s="12">
        <f t="shared" si="0"/>
        <v>346666.66666666669</v>
      </c>
      <c r="G17" s="23" t="s">
        <v>4</v>
      </c>
      <c r="H17" s="2"/>
    </row>
    <row r="18" spans="1:8" x14ac:dyDescent="0.25">
      <c r="A18" s="2"/>
      <c r="B18" s="101" t="s">
        <v>153</v>
      </c>
      <c r="C18" s="30">
        <v>2016</v>
      </c>
      <c r="D18" s="30">
        <v>75</v>
      </c>
      <c r="E18" s="12">
        <v>4330000</v>
      </c>
      <c r="F18" s="12">
        <f t="shared" si="0"/>
        <v>57733.333333333336</v>
      </c>
      <c r="G18" s="23" t="s">
        <v>4</v>
      </c>
      <c r="H18" s="2"/>
    </row>
    <row r="19" spans="1:8" x14ac:dyDescent="0.25">
      <c r="A19" s="2"/>
      <c r="B19" s="101" t="s">
        <v>154</v>
      </c>
      <c r="C19" s="30">
        <v>2016</v>
      </c>
      <c r="D19" s="30">
        <v>75</v>
      </c>
      <c r="E19" s="12">
        <v>2167000</v>
      </c>
      <c r="F19" s="12">
        <f t="shared" si="0"/>
        <v>28893.333333333332</v>
      </c>
      <c r="G19" s="23" t="s">
        <v>4</v>
      </c>
      <c r="H19" s="2"/>
    </row>
    <row r="20" spans="1:8" x14ac:dyDescent="0.25">
      <c r="A20" s="2"/>
      <c r="B20" s="101" t="s">
        <v>155</v>
      </c>
      <c r="C20" s="30">
        <v>2016</v>
      </c>
      <c r="D20" s="30">
        <v>75</v>
      </c>
      <c r="E20" s="12">
        <v>866000</v>
      </c>
      <c r="F20" s="12">
        <f t="shared" si="0"/>
        <v>11546.666666666666</v>
      </c>
      <c r="G20" s="23" t="s">
        <v>4</v>
      </c>
      <c r="H20" s="2"/>
    </row>
    <row r="21" spans="1:8" ht="26.25" x14ac:dyDescent="0.25">
      <c r="A21" s="2"/>
      <c r="B21" s="101" t="s">
        <v>156</v>
      </c>
      <c r="C21" s="30">
        <v>2016</v>
      </c>
      <c r="D21" s="30">
        <v>50</v>
      </c>
      <c r="E21" s="12">
        <v>3157029</v>
      </c>
      <c r="F21" s="12">
        <f t="shared" si="0"/>
        <v>63140.58</v>
      </c>
      <c r="G21" s="23" t="s">
        <v>4</v>
      </c>
      <c r="H21" s="2"/>
    </row>
    <row r="22" spans="1:8" x14ac:dyDescent="0.25">
      <c r="A22" s="2"/>
      <c r="B22" s="101" t="s">
        <v>157</v>
      </c>
      <c r="C22" s="30">
        <v>2016</v>
      </c>
      <c r="D22" s="30">
        <v>75</v>
      </c>
      <c r="E22" s="12">
        <v>2167000</v>
      </c>
      <c r="F22" s="12">
        <f t="shared" si="0"/>
        <v>28893.333333333332</v>
      </c>
      <c r="G22" s="23" t="s">
        <v>4</v>
      </c>
      <c r="H22" s="2"/>
    </row>
    <row r="23" spans="1:8" x14ac:dyDescent="0.25">
      <c r="A23" s="2"/>
      <c r="B23" s="101" t="s">
        <v>158</v>
      </c>
      <c r="C23" s="30">
        <v>2016</v>
      </c>
      <c r="D23" s="30">
        <v>75</v>
      </c>
      <c r="E23" s="12">
        <v>6509000</v>
      </c>
      <c r="F23" s="12">
        <f t="shared" si="0"/>
        <v>86786.666666666672</v>
      </c>
      <c r="G23" s="23" t="s">
        <v>4</v>
      </c>
      <c r="H23" s="2"/>
    </row>
    <row r="24" spans="1:8" ht="26.25" x14ac:dyDescent="0.25">
      <c r="A24" s="2"/>
      <c r="B24" s="101" t="s">
        <v>159</v>
      </c>
      <c r="C24" s="30">
        <v>2016</v>
      </c>
      <c r="D24" s="30">
        <v>30</v>
      </c>
      <c r="E24" s="12">
        <v>119930</v>
      </c>
      <c r="F24" s="12">
        <f t="shared" si="0"/>
        <v>3997.6666666666665</v>
      </c>
      <c r="G24" s="23" t="s">
        <v>4</v>
      </c>
      <c r="H24" s="2"/>
    </row>
    <row r="25" spans="1:8" ht="26.25" x14ac:dyDescent="0.25">
      <c r="A25" s="2"/>
      <c r="B25" s="101" t="s">
        <v>160</v>
      </c>
      <c r="C25" s="30">
        <v>2016</v>
      </c>
      <c r="D25" s="30">
        <v>50</v>
      </c>
      <c r="E25" s="12">
        <v>1160441</v>
      </c>
      <c r="F25" s="12">
        <f t="shared" si="0"/>
        <v>23208.82</v>
      </c>
      <c r="G25" s="23" t="s">
        <v>4</v>
      </c>
      <c r="H25" s="2"/>
    </row>
    <row r="26" spans="1:8" ht="26.25" x14ac:dyDescent="0.25">
      <c r="A26" s="2"/>
      <c r="B26" s="101" t="s">
        <v>161</v>
      </c>
      <c r="C26" s="30">
        <v>2016</v>
      </c>
      <c r="D26" s="30">
        <v>20</v>
      </c>
      <c r="E26" s="12">
        <v>335484</v>
      </c>
      <c r="F26" s="12">
        <f t="shared" si="0"/>
        <v>16774.2</v>
      </c>
      <c r="G26" s="23" t="s">
        <v>4</v>
      </c>
      <c r="H26" s="2"/>
    </row>
    <row r="27" spans="1:8" x14ac:dyDescent="0.25">
      <c r="A27" s="2"/>
      <c r="B27" s="101" t="s">
        <v>162</v>
      </c>
      <c r="C27" s="30">
        <v>2016</v>
      </c>
      <c r="D27" s="30">
        <v>10</v>
      </c>
      <c r="E27" s="12">
        <v>180704</v>
      </c>
      <c r="F27" s="12">
        <f t="shared" si="0"/>
        <v>18070.400000000001</v>
      </c>
      <c r="G27" s="23" t="s">
        <v>4</v>
      </c>
      <c r="H27" s="2"/>
    </row>
    <row r="28" spans="1:8" x14ac:dyDescent="0.25">
      <c r="A28" s="2"/>
      <c r="B28" s="101" t="s">
        <v>163</v>
      </c>
      <c r="C28" s="30">
        <v>2016</v>
      </c>
      <c r="D28" s="30">
        <v>75</v>
      </c>
      <c r="E28" s="12">
        <v>330000</v>
      </c>
      <c r="F28" s="12">
        <f t="shared" si="0"/>
        <v>4400</v>
      </c>
      <c r="G28" s="23" t="s">
        <v>4</v>
      </c>
      <c r="H28" s="2"/>
    </row>
    <row r="29" spans="1:8" x14ac:dyDescent="0.25">
      <c r="A29" s="2"/>
      <c r="B29" s="101" t="s">
        <v>164</v>
      </c>
      <c r="C29" s="30">
        <v>2016</v>
      </c>
      <c r="D29" s="30">
        <v>50</v>
      </c>
      <c r="E29" s="12">
        <v>6286107</v>
      </c>
      <c r="F29" s="12">
        <f t="shared" si="0"/>
        <v>125722.14</v>
      </c>
      <c r="G29" s="23" t="s">
        <v>4</v>
      </c>
      <c r="H29" s="2"/>
    </row>
    <row r="30" spans="1:8" x14ac:dyDescent="0.25">
      <c r="A30" s="2"/>
      <c r="B30" s="101" t="s">
        <v>165</v>
      </c>
      <c r="C30" s="30">
        <v>2016</v>
      </c>
      <c r="D30" s="30">
        <v>5</v>
      </c>
      <c r="E30" s="12">
        <v>136981</v>
      </c>
      <c r="F30" s="12">
        <f t="shared" si="0"/>
        <v>27396.2</v>
      </c>
      <c r="G30" s="23" t="s">
        <v>4</v>
      </c>
      <c r="H30" s="2"/>
    </row>
    <row r="31" spans="1:8" x14ac:dyDescent="0.25">
      <c r="A31" s="2"/>
      <c r="B31" s="101" t="s">
        <v>166</v>
      </c>
      <c r="C31" s="30">
        <v>2016</v>
      </c>
      <c r="D31" s="30">
        <v>5</v>
      </c>
      <c r="E31" s="12">
        <v>52121</v>
      </c>
      <c r="F31" s="12">
        <f t="shared" si="0"/>
        <v>10424.200000000001</v>
      </c>
      <c r="G31" s="23" t="s">
        <v>4</v>
      </c>
      <c r="H31" s="2"/>
    </row>
    <row r="32" spans="1:8" x14ac:dyDescent="0.25">
      <c r="A32" s="2"/>
      <c r="B32" s="83" t="s">
        <v>76</v>
      </c>
      <c r="C32" s="84"/>
      <c r="D32" s="84"/>
      <c r="E32" s="85"/>
      <c r="F32" s="21">
        <f>SUM(F10:F31)</f>
        <v>1132198.7399999998</v>
      </c>
      <c r="G32" s="22" t="s">
        <v>4</v>
      </c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</sheetData>
  <sheetProtection password="DFE9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2018-08-13T08:12:13Z</dcterms:modified>
</cp:coreProperties>
</file>