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E4" i="16" l="1"/>
  <c r="G3" i="16" l="1"/>
  <c r="F3" i="17"/>
  <c r="G3" i="17"/>
  <c r="D4" i="16" l="1"/>
  <c r="F3" i="16" s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6" i="16"/>
  <c r="E5" i="16"/>
  <c r="G5" i="17"/>
  <c r="F4" i="17"/>
  <c r="E5" i="17"/>
  <c r="G4" i="17"/>
  <c r="E4" i="17"/>
  <c r="F5" i="17"/>
  <c r="D5" i="16"/>
  <c r="J3" i="24"/>
  <c r="D6" i="16"/>
  <c r="M3" i="24" l="1"/>
  <c r="B9" i="12" s="1"/>
  <c r="B10" i="12" s="1"/>
  <c r="H3" i="17"/>
  <c r="B4" i="12" s="1"/>
  <c r="I2" i="15"/>
  <c r="K2" i="15" s="1"/>
  <c r="B2" i="12" s="1"/>
  <c r="H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<sst xmlns="http://schemas.openxmlformats.org/spreadsheetml/2006/main" count="116" uniqueCount="79">
  <si>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</si>
  <si>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</si>
  <si>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</si>
  <si>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</si>
  <si>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</si>
  <si>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</si>
  <si>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</si>
  <si>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</si>
  <si>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</si>
  <si>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</si>
  <si>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</si>
  <si>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</si>
  <si>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</si>
  <si>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</si>
  <si>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</si>
  <si>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</si>
  <si>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</si>
  <si>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</si>
  <si>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</si>
  <si>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</si>
  <si>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</si>
  <si>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</si>
  <si>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Fejlkoblingsanalyser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</si>
  <si>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</si>
  <si>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</si>
  <si>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</si>
  <si>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</si>
  <si>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</si>
  <si>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</si>
  <si>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</si>
  <si>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</si>
  <si>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</si>
  <si>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</si>
  <si>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</si>
  <si>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</si>
  <si>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</si>
  <si>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</si>
  <si>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</si>
  <si>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</si>
  <si>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</si>
  <si>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</si>
  <si>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</si>
  <si>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</si>
  <si>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</si>
  <si>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</si>
  <si>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</si>
  <si>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</si>
  <si>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</si>
  <si>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</si>
  <si>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</si>
  <si>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</si>
  <si>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</si>
  <si>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</si>
  <si>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</si>
  <si>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</si>
  <si>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</si>
  <si>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</si>
  <si>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</si>
  <si>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</si>
  <si>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</si>
  <si>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</si>
  <si>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</si>
  <si>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</si>
  <si>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</si>
  <si>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</si>
  <si>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</si>
  <si>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</si>
  <si>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</si>
  <si>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</si>
  <si>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</si>
  <si>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</si>
  <si>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</si>
  <si>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</si>
  <si>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</si>
  <si>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Oversvømmelsesområde Kratbjerg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</si>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</sst>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18791147.858348001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2072782.5737803655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117798.35346666665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20981728.785595033</v>
      </c>
      <c r="C5" s="62" t="s">
        <v>11</v>
      </c>
    </row>
    <row r="6" spans="1:3" x14ac:dyDescent="0.25">
      <c r="A6" s="47" t="s">
        <v>0</v>
      </c>
      <c r="B6" s="38">
        <f>Investeringer!E3</f>
        <v>30798718.607205831</v>
      </c>
      <c r="C6" s="23" t="s">
        <v>11</v>
      </c>
    </row>
    <row r="7" spans="1:3" x14ac:dyDescent="0.25">
      <c r="A7" s="4" t="s">
        <v>1</v>
      </c>
      <c r="B7" s="35">
        <f>Investeringer!F3</f>
        <v>7843062.7934698081</v>
      </c>
      <c r="C7" t="s">
        <v>11</v>
      </c>
    </row>
    <row r="8" spans="1:3" x14ac:dyDescent="0.25">
      <c r="A8" s="4" t="s">
        <v>2</v>
      </c>
      <c r="B8" s="35">
        <f>Investeringer!G3</f>
        <v>527872.89386002207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2519628.8602666664</v>
      </c>
      <c r="C9" t="s">
        <v>11</v>
      </c>
    </row>
    <row r="10" spans="1:3" s="22" customFormat="1" x14ac:dyDescent="0.25">
      <c r="A10" s="3" t="s">
        <v>48</v>
      </c>
      <c r="B10" s="48">
        <f>SUM(B6:B9)</f>
        <v>41689283.154802322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4659363</v>
      </c>
      <c r="C11" t="s">
        <v>11</v>
      </c>
    </row>
    <row r="12" spans="1:3" s="22" customFormat="1" x14ac:dyDescent="0.25">
      <c r="A12" s="4" t="s">
        <v>50</v>
      </c>
      <c r="B12" s="35">
        <f>SUM(Medfinansiering!B:B)</f>
        <v>206373.75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4865736.75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61</v>
      </c>
      <c r="B15" s="37">
        <f>SUM(B5,B10,B13)</f>
        <v>67536748.690397352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53</v>
      </c>
      <c r="B17" s="37">
        <f>B15*Pristalsregulering!C8*Pristalsregulering!C9</f>
        <v>68134566.430250078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54</v>
      </c>
      <c r="F1" s="52" t="s">
        <v>64</v>
      </c>
      <c r="G1" s="52" t="s">
        <v>72</v>
      </c>
      <c r="H1" s="52" t="s">
        <v>65</v>
      </c>
      <c r="I1" s="52" t="s">
        <v>49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18428712</v>
      </c>
      <c r="C2" s="49">
        <v>0</v>
      </c>
      <c r="D2" s="49">
        <f>B2+C2</f>
        <v>18428712</v>
      </c>
      <c r="E2" s="50">
        <f>D2</f>
        <v>18428712</v>
      </c>
      <c r="F2" s="49">
        <v>21774767.297099721</v>
      </c>
      <c r="G2" s="49">
        <v>0</v>
      </c>
      <c r="H2" s="49">
        <f>F2-G2</f>
        <v>21774767.297099721</v>
      </c>
      <c r="I2" s="49">
        <f>AVERAGEIF(E2:E4,"&lt;&gt;0")</f>
        <v>18791147.858348001</v>
      </c>
      <c r="J2" s="49">
        <v>11211864.983684985</v>
      </c>
      <c r="K2" s="39">
        <f>IF(H2&gt;I2,IF(I2&gt;J2,I2,J2),H2)</f>
        <v>18791147.858348001</v>
      </c>
    </row>
    <row r="3" spans="1:11" s="23" customFormat="1" x14ac:dyDescent="0.25">
      <c r="A3" s="28">
        <v>2014</v>
      </c>
      <c r="B3" s="49">
        <v>19422585</v>
      </c>
      <c r="C3" s="49"/>
      <c r="D3" s="49">
        <f t="shared" ref="D3:D4" si="0">B3+C3</f>
        <v>19422585</v>
      </c>
      <c r="E3" s="50">
        <f>D3*Pristalsregulering!C7</f>
        <v>19438123.068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18218537</v>
      </c>
      <c r="C4" s="49"/>
      <c r="D4" s="49">
        <f t="shared" si="0"/>
        <v>18218537</v>
      </c>
      <c r="E4" s="50">
        <f>D4*Pristalsregulering!$C$6*Pristalsregulering!$C$7</f>
        <v>18506608.507043999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34" width="0" hidden="1" customWidth="1"/>
    <col min="35" max="35" width="9.140625" hidden="1" customWidth="1"/>
    <col min="36" max="37" width="0" hidden="1" customWidth="1"/>
    <col min="38" max="38" width="9.140625" hidden="1" customWidth="1"/>
    <col min="39" max="116" width="0" hidden="1" customWidth="1"/>
    <col min="117" max="117" width="9.140625" hidden="1" customWidth="1"/>
    <col min="118" max="142" width="0" hidden="1" customWidth="1"/>
    <col min="143" max="143" width="9.140625" hidden="1" customWidth="1"/>
    <col min="144" max="145" width="0" hidden="1" customWidth="1"/>
    <col min="146" max="146" width="9.140625" hidden="1" customWidth="1"/>
    <col min="147" max="148" width="0" hidden="1" customWidth="1"/>
    <col min="149" max="149" width="9.140625" hidden="1" customWidth="1"/>
    <col min="150" max="224" width="0" hidden="1" customWidth="1"/>
    <col min="225" max="225" width="9.140625" hidden="1" customWidth="1"/>
    <col min="226" max="250" width="0" hidden="1" customWidth="1"/>
    <col min="251" max="251" width="9.140625" hidden="1" customWidth="1"/>
    <col min="252" max="253" width="0" hidden="1" customWidth="1"/>
    <col min="254" max="254" width="9.140625" hidden="1" customWidth="1"/>
    <col min="255" max="256" width="0" hidden="1" customWidth="1"/>
    <col min="257" max="257" width="9.140625" hidden="1" customWidth="1"/>
    <col min="258" max="259" width="0" hidden="1" customWidth="1"/>
    <col min="260" max="260" width="9.140625" hidden="1" customWidth="1"/>
    <col min="261" max="306" width="0" hidden="1" customWidth="1"/>
    <col min="307" max="307" width="9.140625" hidden="1" customWidth="1"/>
    <col min="308" max="332" width="0" hidden="1" customWidth="1"/>
    <col min="333" max="333" width="9.140625" hidden="1" customWidth="1"/>
    <col min="334" max="335" width="0" hidden="1" customWidth="1"/>
    <col min="336" max="336" width="9.140625" hidden="1" customWidth="1"/>
    <col min="337" max="338" width="0" hidden="1" customWidth="1"/>
    <col min="339" max="339" width="9.140625" hidden="1" customWidth="1"/>
    <col min="340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75</v>
      </c>
      <c r="C1" s="33"/>
      <c r="D1" s="65" t="s">
        <v>76</v>
      </c>
      <c r="E1" s="10"/>
      <c r="F1" s="65" t="s">
        <v>77</v>
      </c>
      <c r="G1" s="10"/>
      <c r="H1" s="65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4">
        <v>2064906</v>
      </c>
      <c r="C3" s="74">
        <v>0</v>
      </c>
      <c r="D3" s="45">
        <f>B3/Pristalsregulering!$C$8</f>
        <v>2072782.5737803655</v>
      </c>
      <c r="E3" s="35">
        <f>C3/Pristalsregulering!$C$8</f>
        <v>0</v>
      </c>
      <c r="F3" s="45">
        <f>IF(D4=0,0,AVERAGEIF(D4:D6,"&lt;&gt;0"))+D3</f>
        <v>2072782.5737803655</v>
      </c>
      <c r="G3" s="38">
        <f>IF(E4=0,0,AVERAGEIF(E4:E6,"&lt;&gt;0"))+E3</f>
        <v>0</v>
      </c>
      <c r="H3" s="57">
        <f>SUM(F3:G3)</f>
        <v>2072782.5737803655</v>
      </c>
    </row>
    <row r="4" spans="1:8" x14ac:dyDescent="0.25">
      <c r="A4" s="28">
        <v>2015</v>
      </c>
      <c r="B4" s="35"/>
      <c r="C4" s="35"/>
      <c r="D4" s="45">
        <f>B4</f>
        <v>0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/>
      <c r="C5" s="35"/>
      <c r="D5" s="45">
        <f>B5*Pristalsregulering!$C$7</f>
        <v>0</v>
      </c>
      <c r="E5" s="35">
        <f>C5*Pristalsregulering!$C$7</f>
        <v>0</v>
      </c>
      <c r="F5" s="45"/>
      <c r="G5" s="38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55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31500</v>
      </c>
      <c r="C3" s="42">
        <v>103520</v>
      </c>
      <c r="D3" s="42">
        <v>0</v>
      </c>
      <c r="E3" s="41">
        <f>B3</f>
        <v>31500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117798.35346666665</v>
      </c>
    </row>
    <row r="4" spans="1:8" x14ac:dyDescent="0.25">
      <c r="A4" s="31">
        <v>2014</v>
      </c>
      <c r="B4" s="41">
        <v>31500</v>
      </c>
      <c r="C4" s="42">
        <v>78400</v>
      </c>
      <c r="D4" s="42">
        <v>0</v>
      </c>
      <c r="E4" s="41">
        <f>B4*Pristalsregulering!$C$7</f>
        <v>31525.199999999997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31500</v>
      </c>
      <c r="C5" s="42">
        <v>75200</v>
      </c>
      <c r="D5" s="42">
        <v>0</v>
      </c>
      <c r="E5" s="41">
        <f>B5*Pristalsregulering!$C$7*Pristalsregulering!$C$6</f>
        <v>31998.077999999994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8">
        <v>28289471.741336625</v>
      </c>
      <c r="C3" s="38">
        <v>7644273.661666668</v>
      </c>
      <c r="D3" s="40">
        <v>525866.97686335398</v>
      </c>
      <c r="E3" s="35">
        <f>B3*Pristalsregulering!C2*Pristalsregulering!C3*Pristalsregulering!C4*Pristalsregulering!C5*Pristalsregulering!C6*Pristalsregulering!C7</f>
        <v>30798718.607205831</v>
      </c>
      <c r="F3" s="35">
        <v>7843062.7934698081</v>
      </c>
      <c r="G3" s="35">
        <f xml:space="preserve"> D3/Pristalsregulering!$C$8</f>
        <v>527872.89386002207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56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73</v>
      </c>
      <c r="M2" s="6" t="s">
        <v>29</v>
      </c>
      <c r="N2" s="32"/>
    </row>
    <row r="3" spans="1:14" x14ac:dyDescent="0.25">
      <c r="A3" s="28">
        <v>2015</v>
      </c>
      <c r="B3" s="45">
        <v>72236</v>
      </c>
      <c r="C3" s="38">
        <v>2347273</v>
      </c>
      <c r="D3" s="38">
        <v>0</v>
      </c>
      <c r="E3" s="40">
        <v>0</v>
      </c>
      <c r="F3" s="38">
        <f>B3</f>
        <v>72236</v>
      </c>
      <c r="G3" s="38">
        <f>C3</f>
        <v>2347273</v>
      </c>
      <c r="H3" s="38">
        <f>D3</f>
        <v>0</v>
      </c>
      <c r="I3" s="40">
        <f>E3</f>
        <v>0</v>
      </c>
      <c r="J3" s="42">
        <f>AVERAGE(F3:F5)</f>
        <v>48176.59626666666</v>
      </c>
      <c r="K3" s="42">
        <f>G3</f>
        <v>2347273</v>
      </c>
      <c r="L3" s="43">
        <f>AVERAGE(H3:H5)+AVERAGE(I3:I5)</f>
        <v>124179.26399999998</v>
      </c>
      <c r="M3" s="44">
        <f>SUM(J3:L3)</f>
        <v>2519628.8602666664</v>
      </c>
      <c r="N3" s="23"/>
    </row>
    <row r="4" spans="1:14" x14ac:dyDescent="0.25">
      <c r="A4" s="28">
        <v>2014</v>
      </c>
      <c r="B4" s="45">
        <v>72236</v>
      </c>
      <c r="C4" s="38">
        <v>2300245</v>
      </c>
      <c r="D4" s="38">
        <v>372240</v>
      </c>
      <c r="E4" s="40">
        <v>0</v>
      </c>
      <c r="F4" s="38">
        <f>IF(B4="","",B4*Pristalsregulering!$C$7)</f>
        <v>72293.788799999995</v>
      </c>
      <c r="G4" s="38">
        <f>IF(C4="","",C4*Pristalsregulering!$C$7)</f>
        <v>2302085.196</v>
      </c>
      <c r="H4" s="38">
        <f>IF(D4="","",D4*Pristalsregulering!$C$7)</f>
        <v>372537.79199999996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2607702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2648934.9840239994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225083</v>
      </c>
      <c r="E2" s="42">
        <v>3698838</v>
      </c>
      <c r="F2" s="42">
        <v>0</v>
      </c>
      <c r="G2" s="42">
        <v>0</v>
      </c>
      <c r="H2" s="42">
        <v>702919</v>
      </c>
      <c r="I2" s="42">
        <v>0</v>
      </c>
      <c r="J2" s="42"/>
      <c r="K2" s="42"/>
      <c r="L2" s="43">
        <v>0</v>
      </c>
      <c r="M2" s="44">
        <f>SUM(B2:L2)</f>
        <v>4659363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58</v>
      </c>
      <c r="B1" s="64" t="s">
        <v>59</v>
      </c>
    </row>
    <row r="2" spans="1:2" x14ac:dyDescent="0.25">
      <c r="A2" s="23" t="s">
        <v>74</v>
      </c>
      <c r="B2" s="35">
        <v>206373.75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2017-09-14T11:42:37Z</dcterms:modified>
</cp:coreProperties>
</file>