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G19" i="19"/>
  <c r="G20" i="19" s="1"/>
  <c r="E11" i="2" s="1"/>
  <c r="F16" i="11" l="1"/>
  <c r="F15" i="11"/>
  <c r="F14" i="11"/>
  <c r="F13" i="11"/>
  <c r="F12" i="11"/>
  <c r="F11" i="21" l="1"/>
  <c r="F12" i="21" s="1"/>
  <c r="D11" i="21"/>
  <c r="D12" i="21" s="1"/>
  <c r="F11" i="20" l="1"/>
  <c r="F12" i="20" s="1"/>
  <c r="E15" i="2" s="1"/>
  <c r="D11" i="20"/>
  <c r="D12" i="20" s="1"/>
  <c r="E14" i="2" s="1"/>
  <c r="E18" i="2"/>
  <c r="E17" i="2"/>
  <c r="E10" i="2" l="1"/>
  <c r="E10" i="15" s="1"/>
  <c r="G12" i="7"/>
  <c r="E9" i="2" l="1"/>
  <c r="E15" i="13"/>
  <c r="F11" i="11"/>
  <c r="F17" i="11"/>
  <c r="E20" i="2" l="1"/>
  <c r="E17" i="15"/>
  <c r="G17" i="15" s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18" i="11" s="1"/>
  <c r="E25" i="2"/>
  <c r="G25" i="2" s="1"/>
  <c r="G33" i="12" l="1"/>
  <c r="G35" i="12" s="1"/>
  <c r="E31" i="2" s="1"/>
  <c r="E28" i="13"/>
  <c r="G28" i="13" s="1"/>
  <c r="G36" i="13" s="1"/>
  <c r="E34" i="2" s="1"/>
  <c r="G34" i="2" s="1"/>
  <c r="G17" i="9"/>
  <c r="E22" i="2" s="1"/>
  <c r="E32" i="2" l="1"/>
  <c r="G32" i="2" s="1"/>
  <c r="E21" i="2" l="1"/>
  <c r="E23" i="2" s="1"/>
  <c r="G23" i="2" l="1"/>
  <c r="E9" i="15" s="1"/>
  <c r="G35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<sst xmlns="http://schemas.openxmlformats.org/spreadsheetml/2006/main" count="361" uniqueCount="186">
  <si>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</si>
  <si>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</si>
  <si>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</si>
  <si>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</si>
  <si>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</si>
  <si>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</si>
  <si>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</si>
  <si>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</si>
  <si>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</si>
  <si>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</si>
  <si>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</si>
  <si>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</si>
  <si>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</si>
  <si>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</si>
  <si>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</si>
  <si>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</si>
  <si>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</si>
  <si>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</si>
  <si>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</si>
  <si>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</si>
  <si>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</si>
  <si>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</si>
  <si>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</si>
  <si>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</si>
  <si>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</si>
  <si>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</si>
  <si>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</si>
  <si>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</si>
  <si>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</si>
  <si>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</si>
  <si>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</si>
  <si>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</si>
  <si>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</si>
  <si>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</si>
  <si>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</si>
  <si>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</si>
  <si>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</si>
  <si>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</si>
  <si>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</si>
  <si>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</si>
  <si>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</si>
  <si>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</si>
  <si>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</si>
  <si>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</si>
  <si>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</si>
  <si>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</si>
  <si>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</si>
  <si>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</si>
  <si>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</si>
  <si>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</si>
  <si>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</si>
  <si>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</si>
  <si>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</si>
  <si>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</si>
  <si>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</si>
  <si>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</si>
  <si>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</si>
  <si>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</si>
  <si>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</si>
  <si>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</si>
  <si>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</si>
  <si>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</si>
  <si>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</si>
  <si>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</si>
  <si>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</si>
  <si>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</si>
  <si>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</si>
  <si>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</si>
  <si>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</si>
  <si>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</si>
  <si>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</si>
  <si>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</si>
  <si>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</si>
  <si>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</si>
  <si>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</si>
  <si>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</si>
  <si>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</si>
  <si>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</si>
  <si>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</si>
  <si>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</si>
  <si>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</si>
  <si>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</si>
  <si>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</si>
  <si>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</si>
  <si>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</si>
  <si>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</si>
  <si>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</si>
  <si>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</si>
  <si>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</si>
  <si>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</si>
  <si>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</si>
  <si>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</si>
  <si>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</si>
  <si>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</si>
  <si>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</si>
  <si>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</si>
  <si>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</si>
  <si>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</si>
  <si>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</si>
  <si>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</si>
  <si>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</si>
  <si>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</si>
  <si>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</si>
  <si>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</si>
  <si>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</si>
  <si>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</si>
  <si>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</si>
  <si>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</si>
  <si>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</si>
  <si>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</si>
  <si>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</si>
  <si>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</si>
  <si>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</si>
  <si>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</si>
  <si>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</si>
  <si>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</si>
  <si>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</si>
  <si>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</si>
  <si>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</si>
  <si>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</si>
  <si>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</si>
  <si>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</si>
  <si>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</si>
  <si>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</si>
  <si>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</si>
  <si>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</si>
  <si>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</si>
  <si>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</si>
  <si>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</si>
  <si>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</si>
  <si>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</si>
  <si>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</si>
  <si>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</si>
  <si>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</si>
  <si>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</si>
  <si>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</si>
  <si>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</si>
  <si>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</si>
  <si>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</si>
  <si>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</si>
  <si>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</si>
  <si>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</si>
  <si>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</si>
  <si>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</si>
  <si>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</si>
  <si>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</si>
  <si>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Ø 200 mm &lt; Ledningsnet ≤ Ø 500 mm</t>
  </si>
  <si>
    <t>Strømpeforing Ø 200 mm &lt; Ledningsnet ≤ Ø 500 mm</t>
  </si>
  <si>
    <t>Kælder</t>
  </si>
  <si>
    <t>Pumpeinstallation Miljøklasse A (300-600 l/s) - Mek/EL</t>
  </si>
  <si>
    <t>Forsinkelsesbassiner, lukkede med automatisk rensning og SRO Miljøklasse A (5.000-10.000 m3) - Konstruktionre</t>
  </si>
  <si>
    <t>Jordbassin Klasse A</t>
  </si>
  <si>
    <t>Pumpestationer i brønde (&lt; 6,25 m2), SRO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</si>
  <si>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</si>
  <si>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</si>
  <si>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</si>
  <si>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</si>
  <si>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</si>
  <si>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</si>
  <si>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</si>
  <si>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</si>
  <si>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</si>
  <si>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Undersøgelsesudgifter i forbindelse med fusion</t>
  </si>
  <si>
    <t xml:space="preserve">kr. 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</si>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</sst>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0" fontId="8" fillId="10" borderId="1" xfId="0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122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3" t="s">
        <v>69</v>
      </c>
      <c r="E13" s="54"/>
      <c r="F13" s="54"/>
      <c r="G13" s="55"/>
      <c r="H13" s="2"/>
      <c r="I13" s="2"/>
    </row>
    <row r="14" spans="1:9" x14ac:dyDescent="0.25">
      <c r="A14" s="2"/>
      <c r="B14" s="2"/>
      <c r="C14" s="7" t="s">
        <v>68</v>
      </c>
      <c r="D14" s="53" t="s">
        <v>70</v>
      </c>
      <c r="E14" s="54"/>
      <c r="F14" s="54"/>
      <c r="G14" s="55"/>
      <c r="H14" s="2"/>
      <c r="I14" s="2"/>
    </row>
    <row r="15" spans="1:9" x14ac:dyDescent="0.25">
      <c r="A15" s="2"/>
      <c r="B15" s="2"/>
      <c r="C15" s="7" t="s">
        <v>8</v>
      </c>
      <c r="D15" s="62" t="s">
        <v>63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2" t="s">
        <v>49</v>
      </c>
      <c r="E16" s="63"/>
      <c r="F16" s="63"/>
      <c r="G16" s="64"/>
      <c r="H16" s="2"/>
      <c r="I16" s="2"/>
    </row>
    <row r="17" spans="1:9" x14ac:dyDescent="0.25">
      <c r="A17" s="2"/>
      <c r="B17" s="2"/>
      <c r="C17" s="7" t="s">
        <v>10</v>
      </c>
      <c r="D17" s="65" t="s">
        <v>15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16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68" t="s">
        <v>17</v>
      </c>
      <c r="E19" s="69"/>
      <c r="F19" s="69"/>
      <c r="G19" s="70"/>
      <c r="H19" s="2"/>
      <c r="I19" s="2"/>
    </row>
    <row r="20" spans="1:9" x14ac:dyDescent="0.25">
      <c r="A20" s="2"/>
      <c r="B20" s="2"/>
      <c r="C20" s="7" t="s">
        <v>13</v>
      </c>
      <c r="D20" s="57" t="s">
        <v>75</v>
      </c>
      <c r="E20" s="58"/>
      <c r="F20" s="58"/>
      <c r="G20" s="59"/>
      <c r="H20" s="2"/>
      <c r="I20" s="2"/>
    </row>
    <row r="21" spans="1:9" x14ac:dyDescent="0.25">
      <c r="A21" s="2"/>
      <c r="B21" s="2"/>
      <c r="C21" s="7" t="s">
        <v>14</v>
      </c>
      <c r="D21" s="57" t="s">
        <v>98</v>
      </c>
      <c r="E21" s="58"/>
      <c r="F21" s="58"/>
      <c r="G21" s="59"/>
      <c r="H21" s="2"/>
      <c r="I21" s="2"/>
    </row>
    <row r="22" spans="1:9" x14ac:dyDescent="0.25">
      <c r="A22" s="2"/>
      <c r="B22" s="2"/>
      <c r="C22" s="7" t="s">
        <v>59</v>
      </c>
      <c r="D22" s="47" t="s">
        <v>142</v>
      </c>
      <c r="E22" s="48"/>
      <c r="F22" s="48"/>
      <c r="G22" s="49"/>
      <c r="H22" s="2"/>
      <c r="I22" s="2"/>
    </row>
    <row r="23" spans="1:9" x14ac:dyDescent="0.25">
      <c r="A23" s="2"/>
      <c r="B23" s="2"/>
      <c r="C23" s="7" t="s">
        <v>66</v>
      </c>
      <c r="D23" s="50" t="s">
        <v>65</v>
      </c>
      <c r="E23" s="51"/>
      <c r="F23" s="51"/>
      <c r="G23" s="52"/>
      <c r="H23" s="2"/>
      <c r="I23" s="2"/>
    </row>
    <row r="24" spans="1:9" x14ac:dyDescent="0.25">
      <c r="A24" s="2"/>
      <c r="B24" s="2"/>
      <c r="C24" s="7" t="s">
        <v>67</v>
      </c>
      <c r="D24" s="50" t="s">
        <v>64</v>
      </c>
      <c r="E24" s="51"/>
      <c r="F24" s="51"/>
      <c r="G24" s="5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3" t="s">
        <v>77</v>
      </c>
      <c r="C3" s="93"/>
      <c r="D3" s="93"/>
      <c r="E3" s="93"/>
      <c r="F3" s="93"/>
      <c r="G3" s="93"/>
      <c r="H3" s="93"/>
      <c r="I3" s="2"/>
    </row>
    <row r="4" spans="1:9" ht="15" customHeight="1" x14ac:dyDescent="0.25">
      <c r="A4" s="2"/>
      <c r="B4" s="93"/>
      <c r="C4" s="93"/>
      <c r="D4" s="93"/>
      <c r="E4" s="93"/>
      <c r="F4" s="93"/>
      <c r="G4" s="93"/>
      <c r="H4" s="9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0" t="s">
        <v>175</v>
      </c>
      <c r="C8" s="91"/>
      <c r="D8" s="91"/>
      <c r="E8" s="91"/>
      <c r="F8" s="91"/>
      <c r="G8" s="91"/>
      <c r="H8" s="92"/>
      <c r="I8" s="2"/>
    </row>
    <row r="9" spans="1:9" x14ac:dyDescent="0.25">
      <c r="A9" s="2"/>
      <c r="B9" s="75" t="s">
        <v>78</v>
      </c>
      <c r="C9" s="76"/>
      <c r="D9" s="76"/>
      <c r="E9" s="76"/>
      <c r="F9" s="77"/>
      <c r="G9" s="12">
        <v>31223197.449999999</v>
      </c>
      <c r="H9" s="23" t="s">
        <v>4</v>
      </c>
      <c r="I9" s="2"/>
    </row>
    <row r="10" spans="1:9" x14ac:dyDescent="0.25">
      <c r="A10" s="2"/>
      <c r="B10" s="75" t="s">
        <v>79</v>
      </c>
      <c r="C10" s="76"/>
      <c r="D10" s="76"/>
      <c r="E10" s="76"/>
      <c r="F10" s="77"/>
      <c r="G10" s="12">
        <v>30217650</v>
      </c>
      <c r="H10" s="23" t="s">
        <v>4</v>
      </c>
      <c r="I10" s="2"/>
    </row>
    <row r="11" spans="1:9" x14ac:dyDescent="0.25">
      <c r="A11" s="2"/>
      <c r="B11" s="85" t="s">
        <v>176</v>
      </c>
      <c r="C11" s="86"/>
      <c r="D11" s="86"/>
      <c r="E11" s="86"/>
      <c r="F11" s="87"/>
      <c r="G11" s="21">
        <f>G9-G10</f>
        <v>1005547.4499999993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90" t="s">
        <v>177</v>
      </c>
      <c r="C14" s="91"/>
      <c r="D14" s="91"/>
      <c r="E14" s="91"/>
      <c r="F14" s="91"/>
      <c r="G14" s="91"/>
      <c r="H14" s="92"/>
      <c r="I14" s="2"/>
    </row>
    <row r="15" spans="1:9" x14ac:dyDescent="0.25">
      <c r="A15" s="2"/>
      <c r="B15" s="75" t="s">
        <v>80</v>
      </c>
      <c r="C15" s="76"/>
      <c r="D15" s="76"/>
      <c r="E15" s="76"/>
      <c r="F15" s="77"/>
      <c r="G15" s="12">
        <v>9998004.4700000007</v>
      </c>
      <c r="H15" s="23" t="s">
        <v>4</v>
      </c>
      <c r="I15" s="2"/>
    </row>
    <row r="16" spans="1:9" x14ac:dyDescent="0.25">
      <c r="A16" s="2"/>
      <c r="B16" s="75" t="s">
        <v>81</v>
      </c>
      <c r="C16" s="76"/>
      <c r="D16" s="76"/>
      <c r="E16" s="76"/>
      <c r="F16" s="77"/>
      <c r="G16" s="12">
        <v>10433564</v>
      </c>
      <c r="H16" s="23" t="s">
        <v>4</v>
      </c>
      <c r="I16" s="2"/>
    </row>
    <row r="17" spans="1:9" x14ac:dyDescent="0.25">
      <c r="A17" s="2"/>
      <c r="B17" s="85" t="s">
        <v>177</v>
      </c>
      <c r="C17" s="86"/>
      <c r="D17" s="86"/>
      <c r="E17" s="86"/>
      <c r="F17" s="87"/>
      <c r="G17" s="21">
        <f>G15-G16</f>
        <v>-435559.52999999933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90" t="s">
        <v>178</v>
      </c>
      <c r="C20" s="91"/>
      <c r="D20" s="91"/>
      <c r="E20" s="91"/>
      <c r="F20" s="91"/>
      <c r="G20" s="91"/>
      <c r="H20" s="92"/>
      <c r="I20" s="2"/>
    </row>
    <row r="21" spans="1:9" x14ac:dyDescent="0.25">
      <c r="A21" s="2"/>
      <c r="B21" s="75" t="s">
        <v>82</v>
      </c>
      <c r="C21" s="76"/>
      <c r="D21" s="76"/>
      <c r="E21" s="76"/>
      <c r="F21" s="77"/>
      <c r="G21" s="12">
        <v>231146.28</v>
      </c>
      <c r="H21" s="23" t="s">
        <v>4</v>
      </c>
      <c r="I21" s="2"/>
    </row>
    <row r="22" spans="1:9" x14ac:dyDescent="0.25">
      <c r="A22" s="2"/>
      <c r="B22" s="75" t="s">
        <v>83</v>
      </c>
      <c r="C22" s="76"/>
      <c r="D22" s="76"/>
      <c r="E22" s="76"/>
      <c r="F22" s="77"/>
      <c r="G22" s="12">
        <v>146250</v>
      </c>
      <c r="H22" s="23" t="s">
        <v>4</v>
      </c>
      <c r="I22" s="2"/>
    </row>
    <row r="23" spans="1:9" x14ac:dyDescent="0.25">
      <c r="A23" s="2"/>
      <c r="B23" s="85" t="s">
        <v>178</v>
      </c>
      <c r="C23" s="86"/>
      <c r="D23" s="86"/>
      <c r="E23" s="86"/>
      <c r="F23" s="87"/>
      <c r="G23" s="21">
        <f>G21-G22</f>
        <v>84896.28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90" t="s">
        <v>179</v>
      </c>
      <c r="C26" s="91"/>
      <c r="D26" s="91"/>
      <c r="E26" s="91"/>
      <c r="F26" s="91"/>
      <c r="G26" s="91"/>
      <c r="H26" s="92"/>
      <c r="I26" s="2"/>
    </row>
    <row r="27" spans="1:9" ht="29.25" customHeight="1" x14ac:dyDescent="0.25">
      <c r="A27" s="2"/>
      <c r="B27" s="72" t="s">
        <v>84</v>
      </c>
      <c r="C27" s="73"/>
      <c r="D27" s="73"/>
      <c r="E27" s="73"/>
      <c r="F27" s="74"/>
      <c r="G27" s="12">
        <v>0</v>
      </c>
      <c r="H27" s="23" t="s">
        <v>4</v>
      </c>
      <c r="I27" s="2"/>
    </row>
    <row r="28" spans="1:9" x14ac:dyDescent="0.25">
      <c r="A28" s="2"/>
      <c r="B28" s="75" t="s">
        <v>85</v>
      </c>
      <c r="C28" s="76"/>
      <c r="D28" s="76"/>
      <c r="E28" s="76"/>
      <c r="F28" s="77"/>
      <c r="G28" s="12">
        <v>0</v>
      </c>
      <c r="H28" s="23" t="s">
        <v>4</v>
      </c>
      <c r="I28" s="2"/>
    </row>
    <row r="29" spans="1:9" ht="15" customHeight="1" x14ac:dyDescent="0.25">
      <c r="A29" s="2"/>
      <c r="B29" s="90" t="s">
        <v>179</v>
      </c>
      <c r="C29" s="91"/>
      <c r="D29" s="91"/>
      <c r="E29" s="91"/>
      <c r="F29" s="92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90" t="s">
        <v>86</v>
      </c>
      <c r="C32" s="91"/>
      <c r="D32" s="91"/>
      <c r="E32" s="91"/>
      <c r="F32" s="91"/>
      <c r="G32" s="91"/>
      <c r="H32" s="92"/>
      <c r="I32" s="2"/>
    </row>
    <row r="33" spans="1:9" x14ac:dyDescent="0.25">
      <c r="A33" s="2"/>
      <c r="B33" s="75" t="s">
        <v>87</v>
      </c>
      <c r="C33" s="76"/>
      <c r="D33" s="76"/>
      <c r="E33" s="76"/>
      <c r="F33" s="77"/>
      <c r="G33" s="12">
        <f>'Fane 8. Gen. inv. i 2016'!F18</f>
        <v>892356.5066666666</v>
      </c>
      <c r="H33" s="23" t="s">
        <v>4</v>
      </c>
      <c r="I33" s="2"/>
    </row>
    <row r="34" spans="1:9" x14ac:dyDescent="0.25">
      <c r="A34" s="2"/>
      <c r="B34" s="75" t="s">
        <v>88</v>
      </c>
      <c r="C34" s="76"/>
      <c r="D34" s="76"/>
      <c r="E34" s="76"/>
      <c r="F34" s="77"/>
      <c r="G34" s="12">
        <v>1614466.6666666667</v>
      </c>
      <c r="H34" s="23" t="s">
        <v>4</v>
      </c>
      <c r="I34" s="2"/>
    </row>
    <row r="35" spans="1:9" x14ac:dyDescent="0.25">
      <c r="A35" s="2"/>
      <c r="B35" s="85" t="s">
        <v>86</v>
      </c>
      <c r="C35" s="86"/>
      <c r="D35" s="86"/>
      <c r="E35" s="86"/>
      <c r="F35" s="87"/>
      <c r="G35" s="21">
        <f>G33-G34</f>
        <v>-722110.16000000015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3" t="s">
        <v>89</v>
      </c>
      <c r="C3" s="93"/>
      <c r="D3" s="93"/>
      <c r="E3" s="93"/>
      <c r="F3" s="93"/>
      <c r="G3" s="93"/>
      <c r="H3" s="93"/>
      <c r="I3" s="2"/>
    </row>
    <row r="4" spans="1:9" ht="15" customHeight="1" x14ac:dyDescent="0.25">
      <c r="A4" s="2"/>
      <c r="B4" s="93"/>
      <c r="C4" s="93"/>
      <c r="D4" s="93"/>
      <c r="E4" s="93"/>
      <c r="F4" s="93"/>
      <c r="G4" s="93"/>
      <c r="H4" s="9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90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82" t="s">
        <v>91</v>
      </c>
      <c r="C9" s="83"/>
      <c r="D9" s="83"/>
      <c r="E9" s="83"/>
      <c r="F9" s="84"/>
      <c r="G9" s="18">
        <v>78067158.828114152</v>
      </c>
      <c r="H9" s="28" t="s">
        <v>4</v>
      </c>
      <c r="I9" s="2"/>
    </row>
    <row r="10" spans="1:9" x14ac:dyDescent="0.25">
      <c r="A10" s="2"/>
      <c r="B10" s="85" t="s">
        <v>92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75" t="s">
        <v>19</v>
      </c>
      <c r="C11" s="76"/>
      <c r="D11" s="77"/>
      <c r="E11" s="12">
        <v>15840008</v>
      </c>
      <c r="F11" s="23" t="s">
        <v>4</v>
      </c>
      <c r="G11" s="20"/>
      <c r="H11" s="31"/>
      <c r="I11" s="2"/>
    </row>
    <row r="12" spans="1:9" x14ac:dyDescent="0.25">
      <c r="A12" s="2"/>
      <c r="B12" s="75" t="s">
        <v>93</v>
      </c>
      <c r="C12" s="76"/>
      <c r="D12" s="77"/>
      <c r="E12" s="12">
        <v>5860255</v>
      </c>
      <c r="F12" s="23" t="s">
        <v>4</v>
      </c>
      <c r="G12" s="15"/>
      <c r="H12" s="32"/>
      <c r="I12" s="2"/>
    </row>
    <row r="13" spans="1:9" x14ac:dyDescent="0.25">
      <c r="A13" s="2"/>
      <c r="B13" s="75" t="s">
        <v>94</v>
      </c>
      <c r="C13" s="76"/>
      <c r="D13" s="77"/>
      <c r="E13" s="12">
        <v>-1116587</v>
      </c>
      <c r="F13" s="23" t="s">
        <v>4</v>
      </c>
      <c r="G13" s="15"/>
      <c r="H13" s="32"/>
      <c r="I13" s="2"/>
    </row>
    <row r="14" spans="1:9" x14ac:dyDescent="0.25">
      <c r="A14" s="2"/>
      <c r="B14" s="75" t="s">
        <v>95</v>
      </c>
      <c r="C14" s="76"/>
      <c r="D14" s="77"/>
      <c r="E14" s="12">
        <v>3445600</v>
      </c>
      <c r="F14" s="23" t="s">
        <v>4</v>
      </c>
      <c r="G14" s="15"/>
      <c r="H14" s="32"/>
      <c r="I14" s="2"/>
    </row>
    <row r="15" spans="1:9" x14ac:dyDescent="0.25">
      <c r="A15" s="2"/>
      <c r="B15" s="82" t="s">
        <v>20</v>
      </c>
      <c r="C15" s="83"/>
      <c r="D15" s="84"/>
      <c r="E15" s="18">
        <f>SUM(E11:E14)</f>
        <v>24029276</v>
      </c>
      <c r="F15" s="28" t="s">
        <v>4</v>
      </c>
      <c r="G15" s="15"/>
      <c r="H15" s="32"/>
      <c r="I15" s="2"/>
    </row>
    <row r="16" spans="1:9" x14ac:dyDescent="0.25">
      <c r="A16" s="2"/>
      <c r="B16" s="75" t="s">
        <v>21</v>
      </c>
      <c r="C16" s="76"/>
      <c r="D16" s="77"/>
      <c r="E16" s="12">
        <v>47591</v>
      </c>
      <c r="F16" s="23" t="s">
        <v>4</v>
      </c>
      <c r="G16" s="15"/>
      <c r="H16" s="32"/>
      <c r="I16" s="2"/>
    </row>
    <row r="17" spans="1:9" x14ac:dyDescent="0.25">
      <c r="A17" s="2"/>
      <c r="B17" s="75" t="s">
        <v>22</v>
      </c>
      <c r="C17" s="76"/>
      <c r="D17" s="77"/>
      <c r="E17" s="12">
        <v>0</v>
      </c>
      <c r="F17" s="23" t="s">
        <v>4</v>
      </c>
      <c r="G17" s="15"/>
      <c r="H17" s="32"/>
      <c r="I17" s="2"/>
    </row>
    <row r="18" spans="1:9" x14ac:dyDescent="0.25">
      <c r="A18" s="2"/>
      <c r="B18" s="75" t="s">
        <v>23</v>
      </c>
      <c r="C18" s="76"/>
      <c r="D18" s="77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2" t="s">
        <v>24</v>
      </c>
      <c r="C19" s="83"/>
      <c r="D19" s="84"/>
      <c r="E19" s="18">
        <f>SUM(E16:E18)</f>
        <v>47591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2" t="s">
        <v>25</v>
      </c>
      <c r="C20" s="73"/>
      <c r="D20" s="74"/>
      <c r="E20" s="12">
        <v>-7609315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2" t="s">
        <v>26</v>
      </c>
      <c r="C21" s="73"/>
      <c r="D21" s="74"/>
      <c r="E21" s="12">
        <v>-1234396</v>
      </c>
      <c r="F21" s="23" t="s">
        <v>4</v>
      </c>
      <c r="G21" s="15"/>
      <c r="H21" s="32"/>
      <c r="I21" s="2"/>
    </row>
    <row r="22" spans="1:9" x14ac:dyDescent="0.25">
      <c r="A22" s="2"/>
      <c r="B22" s="75" t="s">
        <v>27</v>
      </c>
      <c r="C22" s="76"/>
      <c r="D22" s="77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75" t="s">
        <v>28</v>
      </c>
      <c r="C23" s="76"/>
      <c r="D23" s="77"/>
      <c r="E23" s="12">
        <v>0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2" t="s">
        <v>29</v>
      </c>
      <c r="C24" s="73"/>
      <c r="D24" s="74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2" t="s">
        <v>30</v>
      </c>
      <c r="C25" s="73"/>
      <c r="D25" s="74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2" t="s">
        <v>31</v>
      </c>
      <c r="C26" s="73"/>
      <c r="D26" s="74"/>
      <c r="E26" s="12">
        <v>-15233156</v>
      </c>
      <c r="F26" s="23" t="s">
        <v>4</v>
      </c>
      <c r="G26" s="15"/>
      <c r="H26" s="32"/>
      <c r="I26" s="2"/>
    </row>
    <row r="27" spans="1:9" x14ac:dyDescent="0.25">
      <c r="A27" s="2"/>
      <c r="B27" s="82" t="s">
        <v>32</v>
      </c>
      <c r="C27" s="83"/>
      <c r="D27" s="84"/>
      <c r="E27" s="18">
        <f>SUM(E20:E26)</f>
        <v>-24076867</v>
      </c>
      <c r="F27" s="28" t="s">
        <v>4</v>
      </c>
      <c r="G27" s="16"/>
      <c r="H27" s="33"/>
      <c r="I27" s="2"/>
    </row>
    <row r="28" spans="1:9" x14ac:dyDescent="0.25">
      <c r="A28" s="2"/>
      <c r="B28" s="82" t="s">
        <v>33</v>
      </c>
      <c r="C28" s="83"/>
      <c r="D28" s="84"/>
      <c r="E28" s="18">
        <f>E15+E19+E27</f>
        <v>0</v>
      </c>
      <c r="F28" s="28" t="s">
        <v>4</v>
      </c>
      <c r="G28" s="1">
        <f>IF(E28&lt;0,0,-E28)</f>
        <v>0</v>
      </c>
      <c r="H28" s="28" t="s">
        <v>4</v>
      </c>
      <c r="I28" s="2"/>
    </row>
    <row r="29" spans="1:9" x14ac:dyDescent="0.25">
      <c r="A29" s="2"/>
      <c r="B29" s="85" t="s">
        <v>96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82" t="s">
        <v>96</v>
      </c>
      <c r="C30" s="83"/>
      <c r="D30" s="84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101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72" t="s">
        <v>58</v>
      </c>
      <c r="C32" s="73"/>
      <c r="D32" s="74"/>
      <c r="E32" s="12">
        <v>71592005.370000005</v>
      </c>
      <c r="F32" s="23" t="s">
        <v>4</v>
      </c>
      <c r="G32" s="20"/>
      <c r="H32" s="31"/>
      <c r="I32" s="2"/>
    </row>
    <row r="33" spans="1:9" x14ac:dyDescent="0.25">
      <c r="A33" s="2"/>
      <c r="B33" s="75" t="s">
        <v>34</v>
      </c>
      <c r="C33" s="76"/>
      <c r="D33" s="77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2" t="s">
        <v>35</v>
      </c>
      <c r="C34" s="73"/>
      <c r="D34" s="74"/>
      <c r="E34" s="12">
        <v>5242885.83</v>
      </c>
      <c r="F34" s="23" t="s">
        <v>4</v>
      </c>
      <c r="G34" s="16"/>
      <c r="H34" s="33"/>
      <c r="I34" s="2"/>
    </row>
    <row r="35" spans="1:9" x14ac:dyDescent="0.25">
      <c r="A35" s="2"/>
      <c r="B35" s="82" t="s">
        <v>36</v>
      </c>
      <c r="C35" s="83"/>
      <c r="D35" s="84"/>
      <c r="E35" s="18">
        <f>SUM(E32:E34)</f>
        <v>76834891.200000003</v>
      </c>
      <c r="F35" s="28" t="s">
        <v>4</v>
      </c>
      <c r="G35" s="18">
        <f>-E35</f>
        <v>-76834891.200000003</v>
      </c>
      <c r="H35" s="28" t="s">
        <v>4</v>
      </c>
      <c r="I35" s="2"/>
    </row>
    <row r="36" spans="1:9" x14ac:dyDescent="0.25">
      <c r="A36" s="2"/>
      <c r="B36" s="85" t="s">
        <v>97</v>
      </c>
      <c r="C36" s="86"/>
      <c r="D36" s="86"/>
      <c r="E36" s="86"/>
      <c r="F36" s="87"/>
      <c r="G36" s="21">
        <f>$G$9+$G$28+$G$30+$G$35</f>
        <v>1232267.628114149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126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172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78" t="s">
        <v>116</v>
      </c>
      <c r="C9" s="80"/>
      <c r="D9" s="100" t="s">
        <v>47</v>
      </c>
      <c r="E9" s="100"/>
      <c r="F9" s="100" t="s">
        <v>127</v>
      </c>
      <c r="G9" s="100"/>
      <c r="H9" s="2"/>
    </row>
    <row r="10" spans="1:8" x14ac:dyDescent="0.25">
      <c r="A10" s="2"/>
      <c r="B10" s="105" t="s">
        <v>173</v>
      </c>
      <c r="C10" s="106"/>
      <c r="D10" s="107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133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145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168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78" t="s">
        <v>185</v>
      </c>
      <c r="C16" s="79"/>
      <c r="D16" s="79"/>
      <c r="E16" s="80"/>
      <c r="F16" s="100" t="s">
        <v>169</v>
      </c>
      <c r="G16" s="100"/>
      <c r="H16" s="2"/>
    </row>
    <row r="17" spans="1:8" x14ac:dyDescent="0.25">
      <c r="A17" s="2"/>
      <c r="B17" s="75" t="s">
        <v>181</v>
      </c>
      <c r="C17" s="76"/>
      <c r="D17" s="76"/>
      <c r="E17" s="77"/>
      <c r="F17" s="12">
        <v>0</v>
      </c>
      <c r="G17" s="23" t="s">
        <v>4</v>
      </c>
      <c r="H17" s="2"/>
    </row>
    <row r="18" spans="1:8" x14ac:dyDescent="0.25">
      <c r="A18" s="2"/>
      <c r="B18" s="85" t="s">
        <v>170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171</v>
      </c>
      <c r="C19" s="86"/>
      <c r="D19" s="86"/>
      <c r="E19" s="8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3" t="s">
        <v>118</v>
      </c>
      <c r="C3" s="93"/>
      <c r="D3" s="93"/>
      <c r="E3" s="93"/>
      <c r="F3" s="93"/>
      <c r="G3" s="93"/>
      <c r="H3" s="2"/>
    </row>
    <row r="4" spans="1:8" ht="25.5" customHeight="1" x14ac:dyDescent="0.25">
      <c r="A4" s="2"/>
      <c r="B4" s="93"/>
      <c r="C4" s="93"/>
      <c r="D4" s="93"/>
      <c r="E4" s="93"/>
      <c r="F4" s="93"/>
      <c r="G4" s="9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117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34" t="s">
        <v>119</v>
      </c>
      <c r="C9" s="35"/>
      <c r="D9" s="100" t="s">
        <v>47</v>
      </c>
      <c r="E9" s="100"/>
      <c r="F9" s="100" t="s">
        <v>127</v>
      </c>
      <c r="G9" s="100"/>
      <c r="H9" s="2"/>
    </row>
    <row r="10" spans="1:8" x14ac:dyDescent="0.25">
      <c r="A10" s="2"/>
      <c r="B10" s="108" t="s">
        <v>180</v>
      </c>
      <c r="C10" s="109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128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144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109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72" t="s">
        <v>60</v>
      </c>
      <c r="C9" s="73"/>
      <c r="D9" s="74"/>
      <c r="E9" s="8">
        <f>'Fane 3. Korrigeret grundlag'!G12</f>
        <v>82189771.489979953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76"/>
      <c r="D10" s="77"/>
      <c r="E10" s="12">
        <f>'Fane 3. Korrigeret grundlag'!G11</f>
        <v>29922084.660329662</v>
      </c>
      <c r="F10" s="9" t="s">
        <v>4</v>
      </c>
      <c r="G10" s="13"/>
      <c r="H10" s="14"/>
      <c r="I10" s="2"/>
    </row>
    <row r="11" spans="1:9" x14ac:dyDescent="0.25">
      <c r="A11" s="2"/>
      <c r="B11" s="81" t="s">
        <v>121</v>
      </c>
      <c r="C11" s="76"/>
      <c r="D11" s="77"/>
      <c r="E11" s="12">
        <f>'Fane 4. Ikke-påvirkelige omk.'!G20</f>
        <v>1971188.2133844991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183</v>
      </c>
      <c r="C12" s="38"/>
      <c r="D12" s="39"/>
      <c r="E12" s="12">
        <f>'Fane 5. Individuelt eff.krav'!G10</f>
        <v>-1731088.3004719615</v>
      </c>
      <c r="F12" s="9" t="s">
        <v>4</v>
      </c>
      <c r="G12" s="13"/>
      <c r="H12" s="14"/>
      <c r="I12" s="2"/>
    </row>
    <row r="13" spans="1:9" x14ac:dyDescent="0.25">
      <c r="A13" s="2"/>
      <c r="B13" s="81" t="s">
        <v>164</v>
      </c>
      <c r="C13" s="88"/>
      <c r="D13" s="89"/>
      <c r="E13" s="12">
        <f>'Fane 3. Korrigeret grundlag'!G22</f>
        <v>341207</v>
      </c>
      <c r="F13" s="9" t="s">
        <v>4</v>
      </c>
      <c r="G13" s="13"/>
      <c r="H13" s="14"/>
      <c r="I13" s="2"/>
    </row>
    <row r="14" spans="1:9" x14ac:dyDescent="0.25">
      <c r="A14" s="2"/>
      <c r="B14" s="72" t="s">
        <v>129</v>
      </c>
      <c r="C14" s="73"/>
      <c r="D14" s="74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2" t="s">
        <v>130</v>
      </c>
      <c r="C15" s="73"/>
      <c r="D15" s="74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72" t="s">
        <v>168</v>
      </c>
      <c r="C16" s="73"/>
      <c r="D16" s="74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72" t="s">
        <v>131</v>
      </c>
      <c r="C17" s="73"/>
      <c r="D17" s="74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72" t="s">
        <v>132</v>
      </c>
      <c r="C18" s="73"/>
      <c r="D18" s="74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7" t="s">
        <v>124</v>
      </c>
      <c r="C19" s="38"/>
      <c r="D19" s="39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81" t="s">
        <v>123</v>
      </c>
      <c r="C20" s="76"/>
      <c r="D20" s="77"/>
      <c r="E20" s="12">
        <f>SUM(E9,E11:E18)*(E19/100)</f>
        <v>1448493.8720506185</v>
      </c>
      <c r="F20" s="9" t="s">
        <v>4</v>
      </c>
      <c r="G20" s="13"/>
      <c r="H20" s="14"/>
      <c r="I20" s="2"/>
    </row>
    <row r="21" spans="1:9" x14ac:dyDescent="0.25">
      <c r="A21" s="2"/>
      <c r="B21" s="75" t="s">
        <v>15</v>
      </c>
      <c r="C21" s="76"/>
      <c r="D21" s="77"/>
      <c r="E21" s="12">
        <f>'Fane 5. Individuelt eff.krav'!G12</f>
        <v>1035363.3425187791</v>
      </c>
      <c r="F21" s="9" t="s">
        <v>4</v>
      </c>
      <c r="G21" s="15"/>
      <c r="H21" s="14"/>
      <c r="I21" s="2"/>
    </row>
    <row r="22" spans="1:9" x14ac:dyDescent="0.25">
      <c r="A22" s="2"/>
      <c r="B22" s="75" t="s">
        <v>16</v>
      </c>
      <c r="C22" s="76"/>
      <c r="D22" s="77"/>
      <c r="E22" s="12">
        <f>'Fane 6. Generelt eff.krav'!G17</f>
        <v>973718.40948199725</v>
      </c>
      <c r="F22" s="9" t="s">
        <v>4</v>
      </c>
      <c r="G22" s="16"/>
      <c r="H22" s="17"/>
      <c r="I22" s="2"/>
    </row>
    <row r="23" spans="1:9" x14ac:dyDescent="0.25">
      <c r="A23" s="2"/>
      <c r="B23" s="82" t="s">
        <v>174</v>
      </c>
      <c r="C23" s="83"/>
      <c r="D23" s="84"/>
      <c r="E23" s="18">
        <f>SUM(E9,E11:E18,E20)-SUM(E21:E22)</f>
        <v>82210490.52294232</v>
      </c>
      <c r="F23" s="19" t="s">
        <v>4</v>
      </c>
      <c r="G23" s="18">
        <f>E23</f>
        <v>82210490.52294232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78" t="s">
        <v>55</v>
      </c>
      <c r="C25" s="79"/>
      <c r="D25" s="80"/>
      <c r="E25" s="18">
        <f>'Fane 7. Hist. over el. underdæk'!G13</f>
        <v>-3802658.4144620821</v>
      </c>
      <c r="F25" s="19" t="s">
        <v>4</v>
      </c>
      <c r="G25" s="18">
        <f>E25</f>
        <v>-3802658.4144620821</v>
      </c>
      <c r="H25" s="19" t="s">
        <v>4</v>
      </c>
      <c r="I25" s="2"/>
    </row>
    <row r="26" spans="1:9" x14ac:dyDescent="0.25">
      <c r="A26" s="2"/>
      <c r="B26" s="85" t="s">
        <v>98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72" t="s">
        <v>105</v>
      </c>
      <c r="C27" s="73"/>
      <c r="D27" s="74"/>
      <c r="E27" s="12">
        <f>'Fane 9. Korrektion af PL2016'!G11</f>
        <v>1005547.4499999993</v>
      </c>
      <c r="F27" s="9" t="s">
        <v>4</v>
      </c>
      <c r="G27" s="20"/>
      <c r="H27" s="11"/>
      <c r="I27" s="2"/>
    </row>
    <row r="28" spans="1:9" x14ac:dyDescent="0.25">
      <c r="A28" s="2"/>
      <c r="B28" s="72" t="s">
        <v>99</v>
      </c>
      <c r="C28" s="73"/>
      <c r="D28" s="74"/>
      <c r="E28" s="12">
        <f>'Fane 9. Korrektion af PL2016'!G17</f>
        <v>-435559.52999999933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72" t="s">
        <v>100</v>
      </c>
      <c r="C29" s="73"/>
      <c r="D29" s="74"/>
      <c r="E29" s="12">
        <f>'Fane 9. Korrektion af PL2016'!G23</f>
        <v>84896.28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72" t="s">
        <v>101</v>
      </c>
      <c r="C30" s="73"/>
      <c r="D30" s="74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72" t="s">
        <v>102</v>
      </c>
      <c r="C31" s="73"/>
      <c r="D31" s="74"/>
      <c r="E31" s="12">
        <f>'Fane 9. Korrektion af PL2016'!G35</f>
        <v>-722110.16000000015</v>
      </c>
      <c r="F31" s="9" t="s">
        <v>4</v>
      </c>
      <c r="G31" s="15"/>
      <c r="H31" s="14"/>
      <c r="I31" s="2"/>
    </row>
    <row r="32" spans="1:9" x14ac:dyDescent="0.25">
      <c r="A32" s="2"/>
      <c r="B32" s="78" t="s">
        <v>103</v>
      </c>
      <c r="C32" s="79"/>
      <c r="D32" s="80"/>
      <c r="E32" s="18">
        <f>SUM(E27:E31)</f>
        <v>-67225.960000000196</v>
      </c>
      <c r="F32" s="19" t="s">
        <v>4</v>
      </c>
      <c r="G32" s="18">
        <f>E32</f>
        <v>-67225.960000000196</v>
      </c>
      <c r="H32" s="19" t="s">
        <v>4</v>
      </c>
      <c r="I32" s="2"/>
    </row>
    <row r="33" spans="1:9" x14ac:dyDescent="0.25">
      <c r="A33" s="2"/>
      <c r="B33" s="85" t="s">
        <v>18</v>
      </c>
      <c r="C33" s="86"/>
      <c r="D33" s="86"/>
      <c r="E33" s="86"/>
      <c r="F33" s="86"/>
      <c r="G33" s="86"/>
      <c r="H33" s="87"/>
      <c r="I33" s="2"/>
    </row>
    <row r="34" spans="1:9" x14ac:dyDescent="0.25">
      <c r="A34" s="2"/>
      <c r="B34" s="78" t="s">
        <v>104</v>
      </c>
      <c r="C34" s="79"/>
      <c r="D34" s="80"/>
      <c r="E34" s="18">
        <f>'Fane 10. Kontrol af PL2016'!G36</f>
        <v>1232267.628114149</v>
      </c>
      <c r="F34" s="19" t="s">
        <v>4</v>
      </c>
      <c r="G34" s="18">
        <f>E34</f>
        <v>1232267.628114149</v>
      </c>
      <c r="H34" s="19" t="s">
        <v>4</v>
      </c>
      <c r="I34" s="2"/>
    </row>
    <row r="35" spans="1:9" x14ac:dyDescent="0.25">
      <c r="A35" s="2"/>
      <c r="B35" s="85" t="s">
        <v>62</v>
      </c>
      <c r="C35" s="86"/>
      <c r="D35" s="86"/>
      <c r="E35" s="86"/>
      <c r="F35" s="87"/>
      <c r="G35" s="21">
        <f>G23+G25+G32+G34</f>
        <v>79572873.7765944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</sheetData>
  <sheetProtection password="DFE9" sheet="1" objects="1" scenarios="1"/>
  <mergeCells count="27">
    <mergeCell ref="B11:D11"/>
    <mergeCell ref="B32:D32"/>
    <mergeCell ref="B29:D29"/>
    <mergeCell ref="B35:F35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4:D34"/>
    <mergeCell ref="B22:D22"/>
    <mergeCell ref="B10:D10"/>
    <mergeCell ref="B23:D23"/>
    <mergeCell ref="B25:D25"/>
    <mergeCell ref="B28:D28"/>
    <mergeCell ref="B30:D30"/>
    <mergeCell ref="B31:D31"/>
    <mergeCell ref="B33:H33"/>
    <mergeCell ref="B26:H26"/>
    <mergeCell ref="B24:H24"/>
    <mergeCell ref="B27:D27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108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2" t="s">
        <v>106</v>
      </c>
      <c r="C9" s="73"/>
      <c r="D9" s="74"/>
      <c r="E9" s="8">
        <f>'Fane 2.1. Økonomisk ramme 2018'!G23-'Fane 2.1. Økonomisk ramme 2018'!E13*(1+0.0175)*(1-0.02-'Fane 5. Individuelt eff.krav'!G11/100)</f>
        <v>81877199.525342315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88"/>
      <c r="D10" s="89"/>
      <c r="E10" s="12">
        <f>(SUM('Fane 2.1. Økonomisk ramme 2018'!E10:E11,'Fane 2.1. Økonomisk ramme 2018'!E16))*(1+'Fane 2.1. Økonomisk ramme 2018'!E19/100)</f>
        <v>32451405.149004161</v>
      </c>
      <c r="F10" s="9" t="s">
        <v>4</v>
      </c>
      <c r="G10" s="13"/>
      <c r="H10" s="14"/>
      <c r="I10" s="2"/>
    </row>
    <row r="11" spans="1:9" x14ac:dyDescent="0.25">
      <c r="A11" s="2"/>
      <c r="B11" s="37" t="s">
        <v>164</v>
      </c>
      <c r="C11" s="40"/>
      <c r="D11" s="41"/>
      <c r="E11" s="12">
        <v>347178</v>
      </c>
      <c r="F11" s="9" t="s">
        <v>4</v>
      </c>
      <c r="G11" s="13"/>
      <c r="H11" s="14"/>
      <c r="I11" s="2"/>
    </row>
    <row r="12" spans="1:9" x14ac:dyDescent="0.25">
      <c r="A12" s="2"/>
      <c r="B12" s="75" t="s">
        <v>61</v>
      </c>
      <c r="C12" s="76"/>
      <c r="D12" s="77"/>
      <c r="E12" s="12">
        <f>($E$9+E11)*'Fane 2.1. Økonomisk ramme 2018'!E19/100</f>
        <v>1438926.6066934904</v>
      </c>
      <c r="F12" s="9" t="s">
        <v>4</v>
      </c>
      <c r="G12" s="15"/>
      <c r="H12" s="14"/>
      <c r="I12" s="2"/>
    </row>
    <row r="13" spans="1:9" x14ac:dyDescent="0.25">
      <c r="A13" s="2"/>
      <c r="B13" s="75" t="s">
        <v>15</v>
      </c>
      <c r="C13" s="76"/>
      <c r="D13" s="77"/>
      <c r="E13" s="12">
        <f>($E$9+E11-$E$10)*(1+'Fane 2.1. Økonomisk ramme 2018'!E19/100)*'Fane 5. Individuelt eff.krav'!$G$11/100</f>
        <v>1012879.9878584816</v>
      </c>
      <c r="F13" s="9" t="s">
        <v>4</v>
      </c>
      <c r="G13" s="15"/>
      <c r="H13" s="14"/>
      <c r="I13" s="2"/>
    </row>
    <row r="14" spans="1:9" x14ac:dyDescent="0.25">
      <c r="A14" s="2"/>
      <c r="B14" s="42" t="s">
        <v>16</v>
      </c>
      <c r="C14" s="38"/>
      <c r="D14" s="39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979508.51414147043</v>
      </c>
      <c r="F14" s="9" t="s">
        <v>4</v>
      </c>
      <c r="G14" s="16"/>
      <c r="H14" s="17"/>
      <c r="I14" s="2"/>
    </row>
    <row r="15" spans="1:9" x14ac:dyDescent="0.25">
      <c r="A15" s="2"/>
      <c r="B15" s="82" t="s">
        <v>174</v>
      </c>
      <c r="C15" s="83"/>
      <c r="D15" s="84"/>
      <c r="E15" s="18">
        <f>$E$9+$E$12-$E$13-$E$14+E11</f>
        <v>81670915.630035862</v>
      </c>
      <c r="F15" s="19" t="s">
        <v>4</v>
      </c>
      <c r="G15" s="18">
        <f>E15</f>
        <v>81670915.630035862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78" t="s">
        <v>55</v>
      </c>
      <c r="C17" s="79"/>
      <c r="D17" s="80"/>
      <c r="E17" s="18">
        <f>IF('Fane 7. Hist. over el. underdæk'!$G$12&gt;1,'Fane 7. Hist. over el. underdæk'!$G$13,0)</f>
        <v>-3802658.4144620821</v>
      </c>
      <c r="F17" s="19" t="s">
        <v>4</v>
      </c>
      <c r="G17" s="18">
        <f>E17</f>
        <v>-3802658.4144620821</v>
      </c>
      <c r="H17" s="19" t="s">
        <v>4</v>
      </c>
      <c r="I17" s="2"/>
    </row>
    <row r="18" spans="1:9" x14ac:dyDescent="0.25">
      <c r="A18" s="2"/>
      <c r="B18" s="85" t="s">
        <v>107</v>
      </c>
      <c r="C18" s="86"/>
      <c r="D18" s="86"/>
      <c r="E18" s="86"/>
      <c r="F18" s="87"/>
      <c r="G18" s="21">
        <f>G15+G17</f>
        <v>77868257.215573788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3" t="s">
        <v>139</v>
      </c>
      <c r="C3" s="93"/>
      <c r="D3" s="93"/>
      <c r="E3" s="93"/>
      <c r="F3" s="93"/>
      <c r="G3" s="93"/>
      <c r="H3" s="93"/>
      <c r="I3" s="2"/>
    </row>
    <row r="4" spans="1:9" ht="29.25" customHeight="1" x14ac:dyDescent="0.25">
      <c r="A4" s="2"/>
      <c r="B4" s="93"/>
      <c r="C4" s="93"/>
      <c r="D4" s="93"/>
      <c r="E4" s="93"/>
      <c r="F4" s="93"/>
      <c r="G4" s="93"/>
      <c r="H4" s="9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141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110</v>
      </c>
      <c r="C9" s="76"/>
      <c r="D9" s="76"/>
      <c r="E9" s="76"/>
      <c r="F9" s="77"/>
      <c r="G9" s="12">
        <v>16341627.631041914</v>
      </c>
      <c r="H9" s="23" t="s">
        <v>4</v>
      </c>
      <c r="I9" s="2"/>
    </row>
    <row r="10" spans="1:9" x14ac:dyDescent="0.25">
      <c r="A10" s="2"/>
      <c r="B10" s="75" t="s">
        <v>111</v>
      </c>
      <c r="C10" s="76"/>
      <c r="D10" s="76"/>
      <c r="E10" s="76"/>
      <c r="F10" s="77"/>
      <c r="G10" s="12">
        <v>35926059.198608384</v>
      </c>
      <c r="H10" s="23" t="s">
        <v>4</v>
      </c>
      <c r="I10" s="2"/>
    </row>
    <row r="11" spans="1:9" x14ac:dyDescent="0.25">
      <c r="A11" s="2"/>
      <c r="B11" s="75" t="s">
        <v>138</v>
      </c>
      <c r="C11" s="76"/>
      <c r="D11" s="76"/>
      <c r="E11" s="76"/>
      <c r="F11" s="77"/>
      <c r="G11" s="12">
        <v>29922084.660329662</v>
      </c>
      <c r="H11" s="23" t="s">
        <v>4</v>
      </c>
      <c r="I11" s="2"/>
    </row>
    <row r="12" spans="1:9" ht="17.25" customHeight="1" x14ac:dyDescent="0.25">
      <c r="A12" s="2"/>
      <c r="B12" s="90" t="s">
        <v>143</v>
      </c>
      <c r="C12" s="91"/>
      <c r="D12" s="91"/>
      <c r="E12" s="91"/>
      <c r="F12" s="92"/>
      <c r="G12" s="21">
        <f>SUM(G9:G11)</f>
        <v>82189771.489979953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164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75" t="s">
        <v>165</v>
      </c>
      <c r="C20" s="76"/>
      <c r="D20" s="76"/>
      <c r="E20" s="76"/>
      <c r="F20" s="77"/>
      <c r="G20" s="12">
        <v>341207</v>
      </c>
      <c r="H20" s="23" t="s">
        <v>4</v>
      </c>
      <c r="I20" s="2"/>
    </row>
    <row r="21" spans="1:9" x14ac:dyDescent="0.25">
      <c r="A21" s="2"/>
      <c r="B21" s="75" t="s">
        <v>166</v>
      </c>
      <c r="C21" s="76"/>
      <c r="D21" s="76"/>
      <c r="E21" s="76"/>
      <c r="F21" s="77"/>
      <c r="G21" s="12">
        <v>0</v>
      </c>
      <c r="H21" s="23" t="s">
        <v>4</v>
      </c>
      <c r="I21" s="2"/>
    </row>
    <row r="22" spans="1:9" x14ac:dyDescent="0.25">
      <c r="A22" s="2"/>
      <c r="B22" s="90" t="s">
        <v>167</v>
      </c>
      <c r="C22" s="91"/>
      <c r="D22" s="91"/>
      <c r="E22" s="91"/>
      <c r="F22" s="92"/>
      <c r="G22" s="21">
        <f>SUM(G20:G21)</f>
        <v>341207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112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113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78" t="s">
        <v>115</v>
      </c>
      <c r="C9" s="79"/>
      <c r="D9" s="80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75" t="s">
        <v>154</v>
      </c>
      <c r="C10" s="76"/>
      <c r="D10" s="76"/>
      <c r="E10" s="102">
        <v>744416.42720000003</v>
      </c>
      <c r="F10" s="23" t="s">
        <v>4</v>
      </c>
      <c r="G10" s="12">
        <v>747686.87</v>
      </c>
      <c r="H10" s="23" t="s">
        <v>4</v>
      </c>
      <c r="I10" s="2"/>
    </row>
    <row r="11" spans="1:9" x14ac:dyDescent="0.25">
      <c r="A11" s="2"/>
      <c r="B11" s="75" t="s">
        <v>155</v>
      </c>
      <c r="C11" s="76"/>
      <c r="D11" s="76"/>
      <c r="E11" s="102">
        <v>415959.32519999996</v>
      </c>
      <c r="F11" s="23" t="s">
        <v>4</v>
      </c>
      <c r="G11" s="12">
        <v>468348.44</v>
      </c>
      <c r="H11" s="23" t="s">
        <v>4</v>
      </c>
      <c r="I11" s="2"/>
    </row>
    <row r="12" spans="1:9" x14ac:dyDescent="0.25">
      <c r="A12" s="2"/>
      <c r="B12" s="75" t="s">
        <v>156</v>
      </c>
      <c r="C12" s="76"/>
      <c r="D12" s="76"/>
      <c r="E12" s="102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75" t="s">
        <v>157</v>
      </c>
      <c r="C13" s="76"/>
      <c r="D13" s="76"/>
      <c r="E13" s="102">
        <v>32398.416399999998</v>
      </c>
      <c r="F13" s="23" t="s">
        <v>4</v>
      </c>
      <c r="G13" s="12">
        <v>73693.37</v>
      </c>
      <c r="H13" s="23" t="s">
        <v>4</v>
      </c>
      <c r="I13" s="2"/>
    </row>
    <row r="14" spans="1:9" x14ac:dyDescent="0.25">
      <c r="A14" s="2"/>
      <c r="B14" s="75" t="s">
        <v>158</v>
      </c>
      <c r="C14" s="76"/>
      <c r="D14" s="76"/>
      <c r="E14" s="102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5" t="s">
        <v>159</v>
      </c>
      <c r="C15" s="76"/>
      <c r="D15" s="76"/>
      <c r="E15" s="102">
        <v>0</v>
      </c>
      <c r="F15" s="23" t="s">
        <v>4</v>
      </c>
      <c r="G15" s="12">
        <v>0</v>
      </c>
      <c r="H15" s="23" t="s">
        <v>4</v>
      </c>
      <c r="I15" s="2"/>
    </row>
    <row r="16" spans="1:9" x14ac:dyDescent="0.25">
      <c r="A16" s="2"/>
      <c r="B16" s="75" t="s">
        <v>160</v>
      </c>
      <c r="C16" s="76"/>
      <c r="D16" s="76"/>
      <c r="E16" s="102">
        <v>28354062.5678</v>
      </c>
      <c r="F16" s="23" t="s">
        <v>4</v>
      </c>
      <c r="G16" s="12">
        <v>29856478.77</v>
      </c>
      <c r="H16" s="23" t="s">
        <v>4</v>
      </c>
      <c r="I16" s="2"/>
    </row>
    <row r="17" spans="1:9" x14ac:dyDescent="0.25">
      <c r="A17" s="2"/>
      <c r="B17" s="75" t="s">
        <v>161</v>
      </c>
      <c r="C17" s="76"/>
      <c r="D17" s="76"/>
      <c r="E17" s="102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103" t="s">
        <v>162</v>
      </c>
      <c r="C18" s="103"/>
      <c r="D18" s="103"/>
      <c r="E18" s="102">
        <v>0</v>
      </c>
      <c r="F18" s="23" t="s">
        <v>163</v>
      </c>
      <c r="G18" s="12">
        <v>337915</v>
      </c>
      <c r="H18" s="23" t="s">
        <v>4</v>
      </c>
      <c r="I18" s="2"/>
    </row>
    <row r="19" spans="1:9" x14ac:dyDescent="0.25">
      <c r="A19" s="2"/>
      <c r="B19" s="85" t="s">
        <v>134</v>
      </c>
      <c r="C19" s="86"/>
      <c r="D19" s="86"/>
      <c r="E19" s="86"/>
      <c r="F19" s="87"/>
      <c r="G19" s="21">
        <f>SUM(G10:G18)-SUM(E10:E18)</f>
        <v>1937285.7133999988</v>
      </c>
      <c r="H19" s="22" t="s">
        <v>4</v>
      </c>
      <c r="I19" s="2"/>
    </row>
    <row r="20" spans="1:9" x14ac:dyDescent="0.25">
      <c r="A20" s="2"/>
      <c r="B20" s="85" t="s">
        <v>135</v>
      </c>
      <c r="C20" s="86"/>
      <c r="D20" s="86"/>
      <c r="E20" s="86"/>
      <c r="F20" s="87"/>
      <c r="G20" s="21">
        <f>G19*(1+'Fane 2.1. Økonomisk ramme 2018'!E19/100)</f>
        <v>1971188.2133844991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51</v>
      </c>
      <c r="C9" s="76"/>
      <c r="D9" s="76"/>
      <c r="E9" s="76"/>
      <c r="F9" s="77"/>
      <c r="G9" s="12">
        <f>'Fane 3. Korrigeret grundlag'!G12-'Fane 3. Korrigeret grundlag'!G11+SUM('Fane 2.1. Økonomisk ramme 2018'!E13:E15,'Fane 2.1. Økonomisk ramme 2018'!E17:E18)</f>
        <v>52608893.82965029</v>
      </c>
      <c r="H9" s="23" t="s">
        <v>4</v>
      </c>
      <c r="I9" s="2"/>
    </row>
    <row r="10" spans="1:9" x14ac:dyDescent="0.25">
      <c r="A10" s="2"/>
      <c r="B10" s="42" t="s">
        <v>183</v>
      </c>
      <c r="C10" s="38"/>
      <c r="D10" s="38"/>
      <c r="E10" s="38"/>
      <c r="F10" s="39"/>
      <c r="G10" s="12">
        <v>-1731088.3004719615</v>
      </c>
      <c r="H10" s="23" t="s">
        <v>4</v>
      </c>
      <c r="I10" s="2"/>
    </row>
    <row r="11" spans="1:9" x14ac:dyDescent="0.25">
      <c r="A11" s="2"/>
      <c r="B11" s="75" t="s">
        <v>37</v>
      </c>
      <c r="C11" s="76"/>
      <c r="D11" s="76"/>
      <c r="E11" s="76"/>
      <c r="F11" s="77"/>
      <c r="G11" s="26">
        <v>2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1035363.3425187791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72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47</v>
      </c>
      <c r="C9" s="95"/>
      <c r="D9" s="95"/>
      <c r="E9" s="95"/>
      <c r="F9" s="96"/>
      <c r="G9" s="12">
        <f>'Fane 3. Korrigeret grundlag'!G9+(SUM('Fane 2.1. Økonomisk ramme 2018'!E13,'Fane 2.1. Økonomisk ramme 2018'!E14,'Fane 2.1. Økonomisk ramme 2018'!E17))</f>
        <v>16682834.631041914</v>
      </c>
      <c r="H9" s="23" t="s">
        <v>4</v>
      </c>
      <c r="I9" s="2"/>
    </row>
    <row r="10" spans="1:9" x14ac:dyDescent="0.25">
      <c r="A10" s="2"/>
      <c r="B10" s="43" t="s">
        <v>182</v>
      </c>
      <c r="C10" s="44"/>
      <c r="D10" s="44"/>
      <c r="E10" s="44"/>
      <c r="F10" s="45"/>
      <c r="G10" s="12">
        <v>-333656.68</v>
      </c>
      <c r="H10" s="23" t="s">
        <v>4</v>
      </c>
      <c r="I10" s="2"/>
    </row>
    <row r="11" spans="1:9" x14ac:dyDescent="0.25">
      <c r="A11" s="2"/>
      <c r="B11" s="75" t="s">
        <v>16</v>
      </c>
      <c r="C11" s="76"/>
      <c r="D11" s="76"/>
      <c r="E11" s="76"/>
      <c r="F11" s="77"/>
      <c r="G11" s="27">
        <f>2</f>
        <v>2</v>
      </c>
      <c r="H11" s="23" t="s">
        <v>38</v>
      </c>
      <c r="I11" s="2"/>
    </row>
    <row r="12" spans="1:9" x14ac:dyDescent="0.25">
      <c r="A12" s="2"/>
      <c r="B12" s="82" t="s">
        <v>39</v>
      </c>
      <c r="C12" s="83"/>
      <c r="D12" s="83"/>
      <c r="E12" s="83"/>
      <c r="F12" s="84"/>
      <c r="G12" s="18">
        <f>($G$9+$G$10)*(1+'Fane 2.1. Økonomisk ramme 2018'!E19/100)*$G$11/100</f>
        <v>332705.77130370296</v>
      </c>
      <c r="H12" s="28" t="s">
        <v>4</v>
      </c>
      <c r="I12" s="2"/>
    </row>
    <row r="13" spans="1:9" x14ac:dyDescent="0.25">
      <c r="A13" s="2"/>
      <c r="B13" s="75" t="s">
        <v>48</v>
      </c>
      <c r="C13" s="76"/>
      <c r="D13" s="76"/>
      <c r="E13" s="76"/>
      <c r="F13" s="77"/>
      <c r="G13" s="12">
        <f>'Fane 3. Korrigeret grundlag'!G10+SUM('Fane 2.1. Økonomisk ramme 2018'!E15,'Fane 2.1. Økonomisk ramme 2018'!E18)</f>
        <v>35926059.198608384</v>
      </c>
      <c r="H13" s="23" t="s">
        <v>4</v>
      </c>
      <c r="I13" s="2"/>
    </row>
    <row r="14" spans="1:9" x14ac:dyDescent="0.25">
      <c r="A14" s="2"/>
      <c r="B14" s="42" t="s">
        <v>184</v>
      </c>
      <c r="C14" s="38"/>
      <c r="D14" s="38"/>
      <c r="E14" s="38"/>
      <c r="F14" s="39"/>
      <c r="G14" s="12">
        <v>-333525.25570000004</v>
      </c>
      <c r="H14" s="23" t="s">
        <v>4</v>
      </c>
      <c r="I14" s="2"/>
    </row>
    <row r="15" spans="1:9" x14ac:dyDescent="0.25">
      <c r="A15" s="2"/>
      <c r="B15" s="75" t="s">
        <v>16</v>
      </c>
      <c r="C15" s="76"/>
      <c r="D15" s="76"/>
      <c r="E15" s="76"/>
      <c r="F15" s="77"/>
      <c r="G15" s="26">
        <v>1.77</v>
      </c>
      <c r="H15" s="23" t="s">
        <v>38</v>
      </c>
      <c r="I15" s="2"/>
    </row>
    <row r="16" spans="1:9" x14ac:dyDescent="0.25">
      <c r="A16" s="2"/>
      <c r="B16" s="82" t="s">
        <v>40</v>
      </c>
      <c r="C16" s="83"/>
      <c r="D16" s="83"/>
      <c r="E16" s="83"/>
      <c r="F16" s="84"/>
      <c r="G16" s="18">
        <f>($G$13+$G$14)*(1+'Fane 2.1. Økonomisk ramme 2018'!E19/100)*$G$15/100</f>
        <v>641012.63817829429</v>
      </c>
      <c r="H16" s="2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973718.40948199725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73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42</v>
      </c>
      <c r="C9" s="76"/>
      <c r="D9" s="76"/>
      <c r="E9" s="76"/>
      <c r="F9" s="77"/>
      <c r="G9" s="12">
        <v>-40330430</v>
      </c>
      <c r="H9" s="23" t="s">
        <v>4</v>
      </c>
      <c r="I9" s="2"/>
    </row>
    <row r="10" spans="1:9" x14ac:dyDescent="0.25">
      <c r="A10" s="2"/>
      <c r="B10" s="75" t="s">
        <v>120</v>
      </c>
      <c r="C10" s="76"/>
      <c r="D10" s="76"/>
      <c r="E10" s="76"/>
      <c r="F10" s="77"/>
      <c r="G10" s="12">
        <v>-28922454.756613754</v>
      </c>
      <c r="H10" s="23" t="s">
        <v>4</v>
      </c>
      <c r="I10" s="2"/>
    </row>
    <row r="11" spans="1:9" x14ac:dyDescent="0.25">
      <c r="A11" s="2"/>
      <c r="B11" s="97" t="s">
        <v>45</v>
      </c>
      <c r="C11" s="98"/>
      <c r="D11" s="98"/>
      <c r="E11" s="98"/>
      <c r="F11" s="99"/>
      <c r="G11" s="36">
        <f>G9-G10</f>
        <v>-11407975.243386246</v>
      </c>
      <c r="H11" s="29" t="s">
        <v>4</v>
      </c>
      <c r="I11" s="2"/>
    </row>
    <row r="12" spans="1:9" x14ac:dyDescent="0.25">
      <c r="A12" s="2"/>
      <c r="B12" s="75" t="s">
        <v>43</v>
      </c>
      <c r="C12" s="76"/>
      <c r="D12" s="76"/>
      <c r="E12" s="76"/>
      <c r="F12" s="77"/>
      <c r="G12" s="12">
        <v>3</v>
      </c>
      <c r="H12" s="23" t="s">
        <v>125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-3802658.4144620821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74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6" t="s">
        <v>0</v>
      </c>
      <c r="C9" s="19" t="s">
        <v>1</v>
      </c>
      <c r="D9" s="46" t="s">
        <v>2</v>
      </c>
      <c r="E9" s="46" t="s">
        <v>44</v>
      </c>
      <c r="F9" s="100" t="s">
        <v>3</v>
      </c>
      <c r="G9" s="100"/>
      <c r="H9" s="2"/>
    </row>
    <row r="10" spans="1:8" x14ac:dyDescent="0.25">
      <c r="A10" s="2"/>
      <c r="B10" s="104" t="s">
        <v>146</v>
      </c>
      <c r="C10" s="30">
        <v>2016</v>
      </c>
      <c r="D10" s="30">
        <v>75</v>
      </c>
      <c r="E10" s="12">
        <v>14542854</v>
      </c>
      <c r="F10" s="12">
        <f>E10/D10</f>
        <v>193904.72</v>
      </c>
      <c r="G10" s="23" t="s">
        <v>4</v>
      </c>
      <c r="H10" s="2"/>
    </row>
    <row r="11" spans="1:8" ht="26.25" x14ac:dyDescent="0.25">
      <c r="A11" s="2"/>
      <c r="B11" s="104" t="s">
        <v>147</v>
      </c>
      <c r="C11" s="30">
        <v>2016</v>
      </c>
      <c r="D11" s="30">
        <v>50</v>
      </c>
      <c r="E11" s="12">
        <v>3347514</v>
      </c>
      <c r="F11" s="12">
        <f t="shared" ref="F11:F17" si="0">E11/D11</f>
        <v>66950.28</v>
      </c>
      <c r="G11" s="23" t="s">
        <v>4</v>
      </c>
      <c r="H11" s="2"/>
    </row>
    <row r="12" spans="1:8" x14ac:dyDescent="0.25">
      <c r="A12" s="2"/>
      <c r="B12" s="104" t="s">
        <v>148</v>
      </c>
      <c r="C12" s="30">
        <v>2016</v>
      </c>
      <c r="D12" s="30">
        <v>75</v>
      </c>
      <c r="E12" s="12">
        <v>82046</v>
      </c>
      <c r="F12" s="12">
        <f t="shared" si="0"/>
        <v>1093.9466666666667</v>
      </c>
      <c r="G12" s="23" t="s">
        <v>4</v>
      </c>
      <c r="H12" s="2"/>
    </row>
    <row r="13" spans="1:8" ht="26.25" x14ac:dyDescent="0.25">
      <c r="A13" s="2"/>
      <c r="B13" s="104" t="s">
        <v>149</v>
      </c>
      <c r="C13" s="30">
        <v>2016</v>
      </c>
      <c r="D13" s="30">
        <v>20</v>
      </c>
      <c r="E13" s="12">
        <v>1426506</v>
      </c>
      <c r="F13" s="12">
        <f t="shared" si="0"/>
        <v>71325.3</v>
      </c>
      <c r="G13" s="23" t="s">
        <v>4</v>
      </c>
      <c r="H13" s="2"/>
    </row>
    <row r="14" spans="1:8" ht="39" x14ac:dyDescent="0.25">
      <c r="A14" s="2"/>
      <c r="B14" s="104" t="s">
        <v>150</v>
      </c>
      <c r="C14" s="30">
        <v>2016</v>
      </c>
      <c r="D14" s="30">
        <v>75</v>
      </c>
      <c r="E14" s="12">
        <v>364512</v>
      </c>
      <c r="F14" s="12">
        <f t="shared" si="0"/>
        <v>4860.16</v>
      </c>
      <c r="G14" s="23" t="s">
        <v>4</v>
      </c>
      <c r="H14" s="2"/>
    </row>
    <row r="15" spans="1:8" x14ac:dyDescent="0.25">
      <c r="A15" s="2"/>
      <c r="B15" s="104" t="s">
        <v>151</v>
      </c>
      <c r="C15" s="30">
        <v>2016</v>
      </c>
      <c r="D15" s="30">
        <v>50</v>
      </c>
      <c r="E15" s="12">
        <v>14029600</v>
      </c>
      <c r="F15" s="12">
        <f t="shared" si="0"/>
        <v>280592</v>
      </c>
      <c r="G15" s="23" t="s">
        <v>4</v>
      </c>
      <c r="H15" s="2"/>
    </row>
    <row r="16" spans="1:8" x14ac:dyDescent="0.25">
      <c r="A16" s="2"/>
      <c r="B16" s="104" t="s">
        <v>152</v>
      </c>
      <c r="C16" s="30">
        <v>2016</v>
      </c>
      <c r="D16" s="30">
        <v>10</v>
      </c>
      <c r="E16" s="12">
        <v>369341</v>
      </c>
      <c r="F16" s="12">
        <f t="shared" si="0"/>
        <v>36934.1</v>
      </c>
      <c r="G16" s="23" t="s">
        <v>4</v>
      </c>
      <c r="H16" s="2"/>
    </row>
    <row r="17" spans="1:8" x14ac:dyDescent="0.25">
      <c r="A17" s="2"/>
      <c r="B17" s="104" t="s">
        <v>153</v>
      </c>
      <c r="C17" s="30">
        <v>2016</v>
      </c>
      <c r="D17" s="30">
        <v>5</v>
      </c>
      <c r="E17" s="12">
        <v>1183480</v>
      </c>
      <c r="F17" s="12">
        <f t="shared" si="0"/>
        <v>236696</v>
      </c>
      <c r="G17" s="23" t="s">
        <v>4</v>
      </c>
      <c r="H17" s="2"/>
    </row>
    <row r="18" spans="1:8" x14ac:dyDescent="0.25">
      <c r="A18" s="2"/>
      <c r="B18" s="85" t="s">
        <v>76</v>
      </c>
      <c r="C18" s="86"/>
      <c r="D18" s="86"/>
      <c r="E18" s="87"/>
      <c r="F18" s="21">
        <f>SUM(F10:F17)</f>
        <v>892356.5066666666</v>
      </c>
      <c r="G18" s="22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2018-08-10T11:43:09Z</dcterms:modified>
</cp:coreProperties>
</file>