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20" i="2"/>
  <c r="E15" i="13"/>
  <c r="F11" i="11"/>
  <c r="F24" i="11"/>
  <c r="E17" i="15" l="1"/>
  <c r="G17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5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E9" i="15" s="1"/>
  <c r="G35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<sst xmlns="http://schemas.openxmlformats.org/spreadsheetml/2006/main" count="372" uniqueCount="190">
  <si>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</si>
  <si>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</si>
  <si>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</si>
  <si>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</si>
  <si>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</si>
  <si>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</si>
  <si>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</si>
  <si>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</si>
  <si>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</si>
  <si>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</si>
  <si>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</si>
  <si>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</si>
  <si>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</si>
  <si>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</si>
  <si>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</si>
  <si>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</si>
  <si>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</si>
  <si>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</si>
  <si>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</si>
  <si>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</si>
  <si>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</si>
  <si>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</si>
  <si>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</si>
  <si>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</si>
  <si>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</si>
  <si>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</si>
  <si>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</si>
  <si>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</si>
  <si>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</si>
  <si>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</si>
  <si>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</si>
  <si>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</si>
  <si>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</si>
  <si>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</si>
  <si>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</si>
  <si>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</si>
  <si>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</si>
  <si>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</si>
  <si>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</si>
  <si>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</si>
  <si>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</si>
  <si>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</si>
  <si>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</si>
  <si>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</si>
  <si>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</si>
  <si>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</si>
  <si>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</si>
  <si>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</si>
  <si>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</si>
  <si>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</si>
  <si>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</si>
  <si>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</si>
  <si>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</si>
  <si>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</si>
  <si>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</si>
  <si>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</si>
  <si>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</si>
  <si>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</si>
  <si>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</si>
  <si>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</si>
  <si>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</si>
  <si>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</si>
  <si>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</si>
  <si>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</si>
  <si>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</si>
  <si>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</si>
  <si>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</si>
  <si>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</si>
  <si>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</si>
  <si>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</si>
  <si>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</si>
  <si>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</si>
  <si>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</si>
  <si>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</si>
  <si>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</si>
  <si>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</si>
  <si>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</si>
  <si>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</si>
  <si>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</si>
  <si>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</si>
  <si>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</si>
  <si>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</si>
  <si>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</si>
  <si>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</si>
  <si>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</si>
  <si>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</si>
  <si>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</si>
  <si>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</si>
  <si>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</si>
  <si>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</si>
  <si>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</si>
  <si>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</si>
  <si>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</si>
  <si>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</si>
  <si>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</si>
  <si>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</si>
  <si>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</si>
  <si>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</si>
  <si>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</si>
  <si>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</si>
  <si>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</si>
  <si>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</si>
  <si>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</si>
  <si>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</si>
  <si>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</si>
  <si>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</si>
  <si>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</si>
  <si>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</si>
  <si>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</si>
  <si>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</si>
  <si>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</si>
  <si>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</si>
  <si>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</si>
  <si>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</si>
  <si>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</si>
  <si>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</si>
  <si>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</si>
  <si>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</si>
  <si>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</si>
  <si>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</si>
  <si>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</si>
  <si>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</si>
  <si>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</si>
  <si>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</si>
  <si>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</si>
  <si>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</si>
  <si>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</si>
  <si>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</si>
  <si>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</si>
  <si>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</si>
  <si>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</si>
  <si>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</si>
  <si>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</si>
  <si>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</si>
  <si>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</si>
  <si>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</si>
  <si>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</si>
  <si>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</si>
  <si>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</si>
  <si>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</si>
  <si>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</si>
  <si>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</si>
  <si>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</si>
  <si>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</si>
  <si>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</si>
  <si>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</si>
  <si>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</si>
  <si>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Indløb-/udløbsarrangement</t>
  </si>
  <si>
    <t>Jordbassin Klasse B</t>
  </si>
  <si>
    <t>Pumpestationer i brønde (&lt; 6,25 m2), Konstruktioner</t>
  </si>
  <si>
    <t>Pumpestationer i brønde (&lt; 6,25 m2), Mek/EL</t>
  </si>
  <si>
    <t>Køretøjer, personbil</t>
  </si>
  <si>
    <t>Forklaring, Konstruktioner</t>
  </si>
  <si>
    <t>Stik</t>
  </si>
  <si>
    <t>Strømpeforing Ø 200 mm &lt; Ledningsnet ≤ Ø 500 mm</t>
  </si>
  <si>
    <t>Administrationbygninger</t>
  </si>
  <si>
    <t>Indløb med riste, Mek/EL</t>
  </si>
  <si>
    <t>Indløb med riste, SRO</t>
  </si>
  <si>
    <t>Brønde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</si>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</sst>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122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98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142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3" t="s">
        <v>77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179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86" t="s">
        <v>78</v>
      </c>
      <c r="C9" s="72"/>
      <c r="D9" s="72"/>
      <c r="E9" s="72"/>
      <c r="F9" s="73"/>
      <c r="G9" s="12">
        <v>2546788</v>
      </c>
      <c r="H9" s="23" t="s">
        <v>4</v>
      </c>
      <c r="I9" s="2"/>
    </row>
    <row r="10" spans="1:9" x14ac:dyDescent="0.25">
      <c r="A10" s="2"/>
      <c r="B10" s="86" t="s">
        <v>79</v>
      </c>
      <c r="C10" s="72"/>
      <c r="D10" s="72"/>
      <c r="E10" s="72"/>
      <c r="F10" s="73"/>
      <c r="G10" s="12">
        <v>3085896</v>
      </c>
      <c r="H10" s="23" t="s">
        <v>4</v>
      </c>
      <c r="I10" s="2"/>
    </row>
    <row r="11" spans="1:9" x14ac:dyDescent="0.25">
      <c r="A11" s="2"/>
      <c r="B11" s="80" t="s">
        <v>180</v>
      </c>
      <c r="C11" s="81"/>
      <c r="D11" s="81"/>
      <c r="E11" s="81"/>
      <c r="F11" s="82"/>
      <c r="G11" s="21">
        <f>G9-G10</f>
        <v>-539108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0" t="s">
        <v>181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86" t="s">
        <v>80</v>
      </c>
      <c r="C15" s="72"/>
      <c r="D15" s="72"/>
      <c r="E15" s="72"/>
      <c r="F15" s="73"/>
      <c r="G15" s="12">
        <v>-155603</v>
      </c>
      <c r="H15" s="23" t="s">
        <v>4</v>
      </c>
      <c r="I15" s="2"/>
    </row>
    <row r="16" spans="1:9" x14ac:dyDescent="0.25">
      <c r="A16" s="2"/>
      <c r="B16" s="86" t="s">
        <v>81</v>
      </c>
      <c r="C16" s="72"/>
      <c r="D16" s="72"/>
      <c r="E16" s="72"/>
      <c r="F16" s="73"/>
      <c r="G16" s="12">
        <v>-200000</v>
      </c>
      <c r="H16" s="23" t="s">
        <v>4</v>
      </c>
      <c r="I16" s="2"/>
    </row>
    <row r="17" spans="1:9" x14ac:dyDescent="0.25">
      <c r="A17" s="2"/>
      <c r="B17" s="80" t="s">
        <v>181</v>
      </c>
      <c r="C17" s="81"/>
      <c r="D17" s="81"/>
      <c r="E17" s="81"/>
      <c r="F17" s="82"/>
      <c r="G17" s="21">
        <f>G15-G16</f>
        <v>44397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0" t="s">
        <v>182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86" t="s">
        <v>82</v>
      </c>
      <c r="C21" s="72"/>
      <c r="D21" s="72"/>
      <c r="E21" s="72"/>
      <c r="F21" s="73"/>
      <c r="G21" s="12">
        <v>6742427</v>
      </c>
      <c r="H21" s="23" t="s">
        <v>4</v>
      </c>
      <c r="I21" s="2"/>
    </row>
    <row r="22" spans="1:9" x14ac:dyDescent="0.25">
      <c r="A22" s="2"/>
      <c r="B22" s="86" t="s">
        <v>83</v>
      </c>
      <c r="C22" s="72"/>
      <c r="D22" s="72"/>
      <c r="E22" s="72"/>
      <c r="F22" s="73"/>
      <c r="G22" s="12">
        <v>6500000</v>
      </c>
      <c r="H22" s="23" t="s">
        <v>4</v>
      </c>
      <c r="I22" s="2"/>
    </row>
    <row r="23" spans="1:9" x14ac:dyDescent="0.25">
      <c r="A23" s="2"/>
      <c r="B23" s="80" t="s">
        <v>182</v>
      </c>
      <c r="C23" s="81"/>
      <c r="D23" s="81"/>
      <c r="E23" s="81"/>
      <c r="F23" s="82"/>
      <c r="G23" s="21">
        <f>G21-G22</f>
        <v>242427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0" t="s">
        <v>183</v>
      </c>
      <c r="C26" s="91"/>
      <c r="D26" s="91"/>
      <c r="E26" s="91"/>
      <c r="F26" s="91"/>
      <c r="G26" s="91"/>
      <c r="H26" s="92"/>
      <c r="I26" s="2"/>
    </row>
    <row r="27" spans="1:9" ht="29.25" customHeight="1" x14ac:dyDescent="0.25">
      <c r="A27" s="2"/>
      <c r="B27" s="77" t="s">
        <v>84</v>
      </c>
      <c r="C27" s="78"/>
      <c r="D27" s="78"/>
      <c r="E27" s="78"/>
      <c r="F27" s="79"/>
      <c r="G27" s="12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72"/>
      <c r="D28" s="72"/>
      <c r="E28" s="72"/>
      <c r="F28" s="73"/>
      <c r="G28" s="12">
        <v>0</v>
      </c>
      <c r="H28" s="23" t="s">
        <v>4</v>
      </c>
      <c r="I28" s="2"/>
    </row>
    <row r="29" spans="1:9" ht="15" customHeight="1" x14ac:dyDescent="0.25">
      <c r="A29" s="2"/>
      <c r="B29" s="90" t="s">
        <v>183</v>
      </c>
      <c r="C29" s="91"/>
      <c r="D29" s="91"/>
      <c r="E29" s="91"/>
      <c r="F29" s="92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0" t="s">
        <v>86</v>
      </c>
      <c r="C32" s="91"/>
      <c r="D32" s="91"/>
      <c r="E32" s="91"/>
      <c r="F32" s="91"/>
      <c r="G32" s="91"/>
      <c r="H32" s="92"/>
      <c r="I32" s="2"/>
    </row>
    <row r="33" spans="1:9" x14ac:dyDescent="0.25">
      <c r="A33" s="2"/>
      <c r="B33" s="86" t="s">
        <v>87</v>
      </c>
      <c r="C33" s="72"/>
      <c r="D33" s="72"/>
      <c r="E33" s="72"/>
      <c r="F33" s="73"/>
      <c r="G33" s="12">
        <f>'Fane 8. Gen. inv. i 2016'!F25</f>
        <v>696683.31333333335</v>
      </c>
      <c r="H33" s="23" t="s">
        <v>4</v>
      </c>
      <c r="I33" s="2"/>
    </row>
    <row r="34" spans="1:9" x14ac:dyDescent="0.25">
      <c r="A34" s="2"/>
      <c r="B34" s="86" t="s">
        <v>88</v>
      </c>
      <c r="C34" s="72"/>
      <c r="D34" s="72"/>
      <c r="E34" s="72"/>
      <c r="F34" s="73"/>
      <c r="G34" s="12">
        <v>577550.00000000012</v>
      </c>
      <c r="H34" s="23" t="s">
        <v>4</v>
      </c>
      <c r="I34" s="2"/>
    </row>
    <row r="35" spans="1:9" x14ac:dyDescent="0.25">
      <c r="A35" s="2"/>
      <c r="B35" s="80" t="s">
        <v>86</v>
      </c>
      <c r="C35" s="81"/>
      <c r="D35" s="81"/>
      <c r="E35" s="81"/>
      <c r="F35" s="82"/>
      <c r="G35" s="21">
        <f>G33-G34</f>
        <v>119133.31333333324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3" t="s">
        <v>89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90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87" t="s">
        <v>91</v>
      </c>
      <c r="C9" s="88"/>
      <c r="D9" s="88"/>
      <c r="E9" s="88"/>
      <c r="F9" s="89"/>
      <c r="G9" s="18">
        <v>84724415.836646795</v>
      </c>
      <c r="H9" s="28" t="s">
        <v>4</v>
      </c>
      <c r="I9" s="2"/>
    </row>
    <row r="10" spans="1:9" x14ac:dyDescent="0.25">
      <c r="A10" s="2"/>
      <c r="B10" s="80" t="s">
        <v>92</v>
      </c>
      <c r="C10" s="81"/>
      <c r="D10" s="81"/>
      <c r="E10" s="81"/>
      <c r="F10" s="81"/>
      <c r="G10" s="81"/>
      <c r="H10" s="82"/>
      <c r="I10" s="2"/>
    </row>
    <row r="11" spans="1:9" x14ac:dyDescent="0.25">
      <c r="A11" s="2"/>
      <c r="B11" s="86" t="s">
        <v>19</v>
      </c>
      <c r="C11" s="72"/>
      <c r="D11" s="73"/>
      <c r="E11" s="12">
        <v>33752367</v>
      </c>
      <c r="F11" s="23" t="s">
        <v>4</v>
      </c>
      <c r="G11" s="20"/>
      <c r="H11" s="31"/>
      <c r="I11" s="2"/>
    </row>
    <row r="12" spans="1:9" x14ac:dyDescent="0.25">
      <c r="A12" s="2"/>
      <c r="B12" s="86" t="s">
        <v>93</v>
      </c>
      <c r="C12" s="72"/>
      <c r="D12" s="73"/>
      <c r="E12" s="12">
        <v>4573546.0433333302</v>
      </c>
      <c r="F12" s="23" t="s">
        <v>4</v>
      </c>
      <c r="G12" s="15"/>
      <c r="H12" s="32"/>
      <c r="I12" s="2"/>
    </row>
    <row r="13" spans="1:9" x14ac:dyDescent="0.25">
      <c r="A13" s="2"/>
      <c r="B13" s="86" t="s">
        <v>94</v>
      </c>
      <c r="C13" s="72"/>
      <c r="D13" s="73"/>
      <c r="E13" s="12">
        <v>-203239.37999999989</v>
      </c>
      <c r="F13" s="23" t="s">
        <v>4</v>
      </c>
      <c r="G13" s="15"/>
      <c r="H13" s="32"/>
      <c r="I13" s="2"/>
    </row>
    <row r="14" spans="1:9" x14ac:dyDescent="0.25">
      <c r="A14" s="2"/>
      <c r="B14" s="86" t="s">
        <v>95</v>
      </c>
      <c r="C14" s="72"/>
      <c r="D14" s="73"/>
      <c r="E14" s="12">
        <v>1250707</v>
      </c>
      <c r="F14" s="23" t="s">
        <v>4</v>
      </c>
      <c r="G14" s="15"/>
      <c r="H14" s="32"/>
      <c r="I14" s="2"/>
    </row>
    <row r="15" spans="1:9" x14ac:dyDescent="0.25">
      <c r="A15" s="2"/>
      <c r="B15" s="87" t="s">
        <v>20</v>
      </c>
      <c r="C15" s="88"/>
      <c r="D15" s="89"/>
      <c r="E15" s="18">
        <f>SUM(E11:E14)</f>
        <v>39373380.663333327</v>
      </c>
      <c r="F15" s="28" t="s">
        <v>4</v>
      </c>
      <c r="G15" s="15"/>
      <c r="H15" s="32"/>
      <c r="I15" s="2"/>
    </row>
    <row r="16" spans="1:9" x14ac:dyDescent="0.25">
      <c r="A16" s="2"/>
      <c r="B16" s="86" t="s">
        <v>21</v>
      </c>
      <c r="C16" s="72"/>
      <c r="D16" s="73"/>
      <c r="E16" s="12">
        <v>2099259</v>
      </c>
      <c r="F16" s="23" t="s">
        <v>4</v>
      </c>
      <c r="G16" s="15"/>
      <c r="H16" s="32"/>
      <c r="I16" s="2"/>
    </row>
    <row r="17" spans="1:9" x14ac:dyDescent="0.25">
      <c r="A17" s="2"/>
      <c r="B17" s="86" t="s">
        <v>22</v>
      </c>
      <c r="C17" s="72"/>
      <c r="D17" s="73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86" t="s">
        <v>23</v>
      </c>
      <c r="C18" s="72"/>
      <c r="D18" s="73"/>
      <c r="E18" s="12">
        <v>9287</v>
      </c>
      <c r="F18" s="23" t="s">
        <v>4</v>
      </c>
      <c r="G18" s="15"/>
      <c r="H18" s="32"/>
      <c r="I18" s="2"/>
    </row>
    <row r="19" spans="1:9" x14ac:dyDescent="0.25">
      <c r="A19" s="2"/>
      <c r="B19" s="87" t="s">
        <v>24</v>
      </c>
      <c r="C19" s="88"/>
      <c r="D19" s="89"/>
      <c r="E19" s="18">
        <f>SUM(E16:E18)</f>
        <v>2108546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7" t="s">
        <v>25</v>
      </c>
      <c r="C20" s="78"/>
      <c r="D20" s="79"/>
      <c r="E20" s="12">
        <v>0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7" t="s">
        <v>26</v>
      </c>
      <c r="C21" s="78"/>
      <c r="D21" s="79"/>
      <c r="E21" s="12">
        <v>-18834813</v>
      </c>
      <c r="F21" s="23" t="s">
        <v>4</v>
      </c>
      <c r="G21" s="15"/>
      <c r="H21" s="32"/>
      <c r="I21" s="2"/>
    </row>
    <row r="22" spans="1:9" x14ac:dyDescent="0.25">
      <c r="A22" s="2"/>
      <c r="B22" s="86" t="s">
        <v>27</v>
      </c>
      <c r="C22" s="72"/>
      <c r="D22" s="73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86" t="s">
        <v>28</v>
      </c>
      <c r="C23" s="72"/>
      <c r="D23" s="73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7" t="s">
        <v>29</v>
      </c>
      <c r="C24" s="78"/>
      <c r="D24" s="79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7" t="s">
        <v>30</v>
      </c>
      <c r="C25" s="78"/>
      <c r="D25" s="79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7" t="s">
        <v>31</v>
      </c>
      <c r="C26" s="78"/>
      <c r="D26" s="79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7" t="s">
        <v>32</v>
      </c>
      <c r="C27" s="88"/>
      <c r="D27" s="89"/>
      <c r="E27" s="18">
        <f>SUM(E20:E26)</f>
        <v>-18834813</v>
      </c>
      <c r="F27" s="28" t="s">
        <v>4</v>
      </c>
      <c r="G27" s="16"/>
      <c r="H27" s="33"/>
      <c r="I27" s="2"/>
    </row>
    <row r="28" spans="1:9" x14ac:dyDescent="0.25">
      <c r="A28" s="2"/>
      <c r="B28" s="87" t="s">
        <v>33</v>
      </c>
      <c r="C28" s="88"/>
      <c r="D28" s="89"/>
      <c r="E28" s="18">
        <f>E15+E19+E27</f>
        <v>22647113.663333327</v>
      </c>
      <c r="F28" s="28" t="s">
        <v>4</v>
      </c>
      <c r="G28" s="1">
        <f>IF(E28&lt;0,0,-E28)</f>
        <v>-22647113.663333327</v>
      </c>
      <c r="H28" s="28" t="s">
        <v>4</v>
      </c>
      <c r="I28" s="2"/>
    </row>
    <row r="29" spans="1:9" x14ac:dyDescent="0.25">
      <c r="A29" s="2"/>
      <c r="B29" s="80" t="s">
        <v>96</v>
      </c>
      <c r="C29" s="81"/>
      <c r="D29" s="81"/>
      <c r="E29" s="81"/>
      <c r="F29" s="81"/>
      <c r="G29" s="81"/>
      <c r="H29" s="82"/>
      <c r="I29" s="2"/>
    </row>
    <row r="30" spans="1:9" x14ac:dyDescent="0.25">
      <c r="A30" s="2"/>
      <c r="B30" s="87" t="s">
        <v>96</v>
      </c>
      <c r="C30" s="88"/>
      <c r="D30" s="89"/>
      <c r="E30" s="18">
        <v>1785158.4733134657</v>
      </c>
      <c r="F30" s="28" t="s">
        <v>4</v>
      </c>
      <c r="G30" s="18">
        <f>-$E$30</f>
        <v>-1785158.4733134657</v>
      </c>
      <c r="H30" s="28" t="s">
        <v>4</v>
      </c>
      <c r="I30" s="2"/>
    </row>
    <row r="31" spans="1:9" x14ac:dyDescent="0.25">
      <c r="A31" s="2"/>
      <c r="B31" s="101" t="s">
        <v>57</v>
      </c>
      <c r="C31" s="81"/>
      <c r="D31" s="81"/>
      <c r="E31" s="81"/>
      <c r="F31" s="81"/>
      <c r="G31" s="81"/>
      <c r="H31" s="82"/>
      <c r="I31" s="2"/>
    </row>
    <row r="32" spans="1:9" ht="30" customHeight="1" x14ac:dyDescent="0.25">
      <c r="A32" s="2"/>
      <c r="B32" s="77" t="s">
        <v>58</v>
      </c>
      <c r="C32" s="78"/>
      <c r="D32" s="79"/>
      <c r="E32" s="12">
        <v>57949122</v>
      </c>
      <c r="F32" s="23" t="s">
        <v>4</v>
      </c>
      <c r="G32" s="20"/>
      <c r="H32" s="31"/>
      <c r="I32" s="2"/>
    </row>
    <row r="33" spans="1:9" x14ac:dyDescent="0.25">
      <c r="A33" s="2"/>
      <c r="B33" s="86" t="s">
        <v>34</v>
      </c>
      <c r="C33" s="72"/>
      <c r="D33" s="73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7" t="s">
        <v>35</v>
      </c>
      <c r="C34" s="78"/>
      <c r="D34" s="79"/>
      <c r="E34" s="12">
        <v>2343021.7000000002</v>
      </c>
      <c r="F34" s="23" t="s">
        <v>4</v>
      </c>
      <c r="G34" s="16"/>
      <c r="H34" s="33"/>
      <c r="I34" s="2"/>
    </row>
    <row r="35" spans="1:9" x14ac:dyDescent="0.25">
      <c r="A35" s="2"/>
      <c r="B35" s="87" t="s">
        <v>36</v>
      </c>
      <c r="C35" s="88"/>
      <c r="D35" s="89"/>
      <c r="E35" s="18">
        <f>SUM(E32:E34)</f>
        <v>60292143.700000003</v>
      </c>
      <c r="F35" s="28" t="s">
        <v>4</v>
      </c>
      <c r="G35" s="18">
        <f>-E35</f>
        <v>-60292143.700000003</v>
      </c>
      <c r="H35" s="28" t="s">
        <v>4</v>
      </c>
      <c r="I35" s="2"/>
    </row>
    <row r="36" spans="1:9" x14ac:dyDescent="0.25">
      <c r="A36" s="2"/>
      <c r="B36" s="80" t="s">
        <v>97</v>
      </c>
      <c r="C36" s="81"/>
      <c r="D36" s="81"/>
      <c r="E36" s="81"/>
      <c r="F36" s="82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126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0" t="s">
        <v>176</v>
      </c>
      <c r="C8" s="81"/>
      <c r="D8" s="81"/>
      <c r="E8" s="81"/>
      <c r="F8" s="81"/>
      <c r="G8" s="82"/>
      <c r="H8" s="2"/>
    </row>
    <row r="9" spans="1:8" ht="29.25" customHeight="1" x14ac:dyDescent="0.25">
      <c r="A9" s="2"/>
      <c r="B9" s="74" t="s">
        <v>116</v>
      </c>
      <c r="C9" s="76"/>
      <c r="D9" s="100" t="s">
        <v>47</v>
      </c>
      <c r="E9" s="100"/>
      <c r="F9" s="100" t="s">
        <v>127</v>
      </c>
      <c r="G9" s="100"/>
      <c r="H9" s="2"/>
    </row>
    <row r="10" spans="1:8" x14ac:dyDescent="0.25">
      <c r="A10" s="2"/>
      <c r="B10" s="104" t="s">
        <v>177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0" t="s">
        <v>133</v>
      </c>
      <c r="C11" s="81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0" t="s">
        <v>145</v>
      </c>
      <c r="C12" s="82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0" t="s">
        <v>172</v>
      </c>
      <c r="C15" s="81"/>
      <c r="D15" s="81"/>
      <c r="E15" s="81"/>
      <c r="F15" s="81"/>
      <c r="G15" s="82"/>
      <c r="H15" s="2"/>
    </row>
    <row r="16" spans="1:8" ht="15" customHeight="1" x14ac:dyDescent="0.25">
      <c r="A16" s="2"/>
      <c r="B16" s="74" t="s">
        <v>189</v>
      </c>
      <c r="C16" s="75"/>
      <c r="D16" s="75"/>
      <c r="E16" s="76"/>
      <c r="F16" s="100" t="s">
        <v>173</v>
      </c>
      <c r="G16" s="100"/>
      <c r="H16" s="2"/>
    </row>
    <row r="17" spans="1:8" x14ac:dyDescent="0.25">
      <c r="A17" s="2"/>
      <c r="B17" s="86" t="s">
        <v>185</v>
      </c>
      <c r="C17" s="72"/>
      <c r="D17" s="72"/>
      <c r="E17" s="73"/>
      <c r="F17" s="12">
        <v>0</v>
      </c>
      <c r="G17" s="23" t="s">
        <v>4</v>
      </c>
      <c r="H17" s="2"/>
    </row>
    <row r="18" spans="1:8" x14ac:dyDescent="0.25">
      <c r="A18" s="2"/>
      <c r="B18" s="80" t="s">
        <v>174</v>
      </c>
      <c r="C18" s="81"/>
      <c r="D18" s="81"/>
      <c r="E18" s="82"/>
      <c r="F18" s="21">
        <f>SUM(F17:F17)</f>
        <v>0</v>
      </c>
      <c r="G18" s="22" t="s">
        <v>4</v>
      </c>
      <c r="H18" s="2"/>
    </row>
    <row r="19" spans="1:8" x14ac:dyDescent="0.25">
      <c r="A19" s="2"/>
      <c r="B19" s="80" t="s">
        <v>175</v>
      </c>
      <c r="C19" s="81"/>
      <c r="D19" s="81"/>
      <c r="E19" s="82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3" t="s">
        <v>118</v>
      </c>
      <c r="C3" s="93"/>
      <c r="D3" s="93"/>
      <c r="E3" s="93"/>
      <c r="F3" s="93"/>
      <c r="G3" s="93"/>
      <c r="H3" s="2"/>
    </row>
    <row r="4" spans="1:8" ht="25.5" customHeight="1" x14ac:dyDescent="0.25">
      <c r="A4" s="2"/>
      <c r="B4" s="93"/>
      <c r="C4" s="93"/>
      <c r="D4" s="93"/>
      <c r="E4" s="93"/>
      <c r="F4" s="93"/>
      <c r="G4" s="9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0" t="s">
        <v>117</v>
      </c>
      <c r="C8" s="81"/>
      <c r="D8" s="81"/>
      <c r="E8" s="81"/>
      <c r="F8" s="81"/>
      <c r="G8" s="82"/>
      <c r="H8" s="2"/>
    </row>
    <row r="9" spans="1:8" ht="29.25" customHeight="1" x14ac:dyDescent="0.25">
      <c r="A9" s="2"/>
      <c r="B9" s="34" t="s">
        <v>119</v>
      </c>
      <c r="C9" s="35"/>
      <c r="D9" s="100" t="s">
        <v>47</v>
      </c>
      <c r="E9" s="100"/>
      <c r="F9" s="100" t="s">
        <v>127</v>
      </c>
      <c r="G9" s="100"/>
      <c r="H9" s="2"/>
    </row>
    <row r="10" spans="1:8" x14ac:dyDescent="0.25">
      <c r="A10" s="2"/>
      <c r="B10" s="107" t="s">
        <v>184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0" t="s">
        <v>128</v>
      </c>
      <c r="C11" s="82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0" t="s">
        <v>144</v>
      </c>
      <c r="C12" s="82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109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56</v>
      </c>
      <c r="C8" s="81"/>
      <c r="D8" s="81"/>
      <c r="E8" s="81"/>
      <c r="F8" s="81"/>
      <c r="G8" s="81"/>
      <c r="H8" s="82"/>
      <c r="I8" s="2"/>
    </row>
    <row r="9" spans="1:9" ht="15" customHeight="1" x14ac:dyDescent="0.25">
      <c r="A9" s="2"/>
      <c r="B9" s="77" t="s">
        <v>60</v>
      </c>
      <c r="C9" s="78"/>
      <c r="D9" s="79"/>
      <c r="E9" s="8">
        <f>'Fane 3. Korrigeret grundlag'!G12</f>
        <v>77798191.866606906</v>
      </c>
      <c r="F9" s="9" t="s">
        <v>4</v>
      </c>
      <c r="G9" s="10"/>
      <c r="H9" s="11"/>
      <c r="I9" s="2"/>
    </row>
    <row r="10" spans="1:9" x14ac:dyDescent="0.25">
      <c r="A10" s="2"/>
      <c r="B10" s="71" t="s">
        <v>46</v>
      </c>
      <c r="C10" s="72"/>
      <c r="D10" s="73"/>
      <c r="E10" s="12">
        <f>'Fane 3. Korrigeret grundlag'!G11</f>
        <v>5509011.4753244994</v>
      </c>
      <c r="F10" s="9" t="s">
        <v>4</v>
      </c>
      <c r="G10" s="13"/>
      <c r="H10" s="14"/>
      <c r="I10" s="2"/>
    </row>
    <row r="11" spans="1:9" x14ac:dyDescent="0.25">
      <c r="A11" s="2"/>
      <c r="B11" s="71" t="s">
        <v>121</v>
      </c>
      <c r="C11" s="72"/>
      <c r="D11" s="73"/>
      <c r="E11" s="12">
        <f>'Fane 4. Ikke-påvirkelige omk.'!G19</f>
        <v>-3111653.8226124998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187</v>
      </c>
      <c r="C12" s="38"/>
      <c r="D12" s="39"/>
      <c r="E12" s="12">
        <f>'Fane 5. Individuelt eff.krav'!G10</f>
        <v>-1324984.3791387207</v>
      </c>
      <c r="F12" s="9" t="s">
        <v>4</v>
      </c>
      <c r="G12" s="13"/>
      <c r="H12" s="14"/>
      <c r="I12" s="2"/>
    </row>
    <row r="13" spans="1:9" x14ac:dyDescent="0.25">
      <c r="A13" s="2"/>
      <c r="B13" s="71" t="s">
        <v>168</v>
      </c>
      <c r="C13" s="83"/>
      <c r="D13" s="84"/>
      <c r="E13" s="12">
        <f>'Fane 3. Korrigeret grundlag'!G22</f>
        <v>0</v>
      </c>
      <c r="F13" s="9" t="s">
        <v>4</v>
      </c>
      <c r="G13" s="13"/>
      <c r="H13" s="14"/>
      <c r="I13" s="2"/>
    </row>
    <row r="14" spans="1:9" x14ac:dyDescent="0.25">
      <c r="A14" s="2"/>
      <c r="B14" s="77" t="s">
        <v>129</v>
      </c>
      <c r="C14" s="78"/>
      <c r="D14" s="79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7" t="s">
        <v>130</v>
      </c>
      <c r="C15" s="78"/>
      <c r="D15" s="79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7" t="s">
        <v>172</v>
      </c>
      <c r="C16" s="78"/>
      <c r="D16" s="79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7" t="s">
        <v>131</v>
      </c>
      <c r="C17" s="78"/>
      <c r="D17" s="79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7" t="s">
        <v>132</v>
      </c>
      <c r="C18" s="78"/>
      <c r="D18" s="79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40" t="s">
        <v>124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71" t="s">
        <v>123</v>
      </c>
      <c r="C20" s="72"/>
      <c r="D20" s="73"/>
      <c r="E20" s="12">
        <f>SUM(E9,E11:E18)*(E19/100)</f>
        <v>1283827.1891349747</v>
      </c>
      <c r="F20" s="9" t="s">
        <v>4</v>
      </c>
      <c r="G20" s="13"/>
      <c r="H20" s="14"/>
      <c r="I20" s="2"/>
    </row>
    <row r="21" spans="1:9" x14ac:dyDescent="0.25">
      <c r="A21" s="2"/>
      <c r="B21" s="86" t="s">
        <v>15</v>
      </c>
      <c r="C21" s="72"/>
      <c r="D21" s="73"/>
      <c r="E21" s="12">
        <f>'Fane 5. Individuelt eff.krav'!G12</f>
        <v>961462.61731905513</v>
      </c>
      <c r="F21" s="9" t="s">
        <v>4</v>
      </c>
      <c r="G21" s="15"/>
      <c r="H21" s="14"/>
      <c r="I21" s="2"/>
    </row>
    <row r="22" spans="1:9" x14ac:dyDescent="0.25">
      <c r="A22" s="2"/>
      <c r="B22" s="86" t="s">
        <v>16</v>
      </c>
      <c r="C22" s="72"/>
      <c r="D22" s="73"/>
      <c r="E22" s="12">
        <f>'Fane 6. Generelt eff.krav'!G17</f>
        <v>1351549.5242195181</v>
      </c>
      <c r="F22" s="9" t="s">
        <v>4</v>
      </c>
      <c r="G22" s="16"/>
      <c r="H22" s="17"/>
      <c r="I22" s="2"/>
    </row>
    <row r="23" spans="1:9" x14ac:dyDescent="0.25">
      <c r="A23" s="2"/>
      <c r="B23" s="87" t="s">
        <v>178</v>
      </c>
      <c r="C23" s="88"/>
      <c r="D23" s="89"/>
      <c r="E23" s="18">
        <f>SUM(E9,E11:E18,E20)-SUM(E21:E22)</f>
        <v>72332368.712452084</v>
      </c>
      <c r="F23" s="19" t="s">
        <v>4</v>
      </c>
      <c r="G23" s="18">
        <f>E23</f>
        <v>72332368.712452084</v>
      </c>
      <c r="H23" s="19" t="s">
        <v>4</v>
      </c>
      <c r="I23" s="2"/>
    </row>
    <row r="24" spans="1:9" x14ac:dyDescent="0.25">
      <c r="A24" s="2"/>
      <c r="B24" s="80" t="s">
        <v>17</v>
      </c>
      <c r="C24" s="81"/>
      <c r="D24" s="81"/>
      <c r="E24" s="81"/>
      <c r="F24" s="81"/>
      <c r="G24" s="81"/>
      <c r="H24" s="82"/>
      <c r="I24" s="2"/>
    </row>
    <row r="25" spans="1:9" x14ac:dyDescent="0.25">
      <c r="A25" s="2"/>
      <c r="B25" s="74" t="s">
        <v>55</v>
      </c>
      <c r="C25" s="75"/>
      <c r="D25" s="76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0" t="s">
        <v>98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7" t="s">
        <v>105</v>
      </c>
      <c r="C27" s="78"/>
      <c r="D27" s="79"/>
      <c r="E27" s="12">
        <f>'Fane 9. Korrektion af PL2016'!G11</f>
        <v>-539108</v>
      </c>
      <c r="F27" s="9" t="s">
        <v>4</v>
      </c>
      <c r="G27" s="20"/>
      <c r="H27" s="11"/>
      <c r="I27" s="2"/>
    </row>
    <row r="28" spans="1:9" x14ac:dyDescent="0.25">
      <c r="A28" s="2"/>
      <c r="B28" s="77" t="s">
        <v>99</v>
      </c>
      <c r="C28" s="78"/>
      <c r="D28" s="79"/>
      <c r="E28" s="12">
        <f>'Fane 9. Korrektion af PL2016'!G17</f>
        <v>44397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7" t="s">
        <v>100</v>
      </c>
      <c r="C29" s="78"/>
      <c r="D29" s="79"/>
      <c r="E29" s="12">
        <f>'Fane 9. Korrektion af PL2016'!G23</f>
        <v>242427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7" t="s">
        <v>101</v>
      </c>
      <c r="C30" s="78"/>
      <c r="D30" s="79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7" t="s">
        <v>102</v>
      </c>
      <c r="C31" s="78"/>
      <c r="D31" s="79"/>
      <c r="E31" s="12">
        <f>'Fane 9. Korrektion af PL2016'!G35</f>
        <v>119133.31333333324</v>
      </c>
      <c r="F31" s="9" t="s">
        <v>4</v>
      </c>
      <c r="G31" s="15"/>
      <c r="H31" s="14"/>
      <c r="I31" s="2"/>
    </row>
    <row r="32" spans="1:9" x14ac:dyDescent="0.25">
      <c r="A32" s="2"/>
      <c r="B32" s="74" t="s">
        <v>103</v>
      </c>
      <c r="C32" s="75"/>
      <c r="D32" s="76"/>
      <c r="E32" s="18">
        <f>SUM(E27:E31)</f>
        <v>-133150.68666666676</v>
      </c>
      <c r="F32" s="19" t="s">
        <v>4</v>
      </c>
      <c r="G32" s="18">
        <f>E32</f>
        <v>-133150.68666666676</v>
      </c>
      <c r="H32" s="19" t="s">
        <v>4</v>
      </c>
      <c r="I32" s="2"/>
    </row>
    <row r="33" spans="1:9" x14ac:dyDescent="0.25">
      <c r="A33" s="2"/>
      <c r="B33" s="80" t="s">
        <v>18</v>
      </c>
      <c r="C33" s="81"/>
      <c r="D33" s="81"/>
      <c r="E33" s="81"/>
      <c r="F33" s="81"/>
      <c r="G33" s="81"/>
      <c r="H33" s="82"/>
      <c r="I33" s="2"/>
    </row>
    <row r="34" spans="1:9" x14ac:dyDescent="0.25">
      <c r="A34" s="2"/>
      <c r="B34" s="74" t="s">
        <v>104</v>
      </c>
      <c r="C34" s="75"/>
      <c r="D34" s="76"/>
      <c r="E34" s="18">
        <f>'Fane 10. Kontrol af PL2016'!G36</f>
        <v>0</v>
      </c>
      <c r="F34" s="19" t="s">
        <v>4</v>
      </c>
      <c r="G34" s="18">
        <f>E34</f>
        <v>0</v>
      </c>
      <c r="H34" s="19" t="s">
        <v>4</v>
      </c>
      <c r="I34" s="2"/>
    </row>
    <row r="35" spans="1:9" x14ac:dyDescent="0.25">
      <c r="A35" s="2"/>
      <c r="B35" s="80" t="s">
        <v>62</v>
      </c>
      <c r="C35" s="81"/>
      <c r="D35" s="81"/>
      <c r="E35" s="81"/>
      <c r="F35" s="82"/>
      <c r="G35" s="21">
        <f>G23+G25+G32+G34</f>
        <v>72199218.025785416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56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7" t="s">
        <v>106</v>
      </c>
      <c r="C9" s="78"/>
      <c r="D9" s="79"/>
      <c r="E9" s="8">
        <f>'Fane 2.1. Økonomisk ramme 2018'!G23-'Fane 2.1. Økonomisk ramme 2018'!E13*(1+0.0175)*(1-0.02-'Fane 5. Individuelt eff.krav'!G11/100)</f>
        <v>72332368.712452084</v>
      </c>
      <c r="F9" s="9" t="s">
        <v>4</v>
      </c>
      <c r="G9" s="10"/>
      <c r="H9" s="11"/>
      <c r="I9" s="2"/>
    </row>
    <row r="10" spans="1:9" x14ac:dyDescent="0.25">
      <c r="A10" s="2"/>
      <c r="B10" s="71" t="s">
        <v>46</v>
      </c>
      <c r="C10" s="83"/>
      <c r="D10" s="84"/>
      <c r="E10" s="12">
        <f>(SUM('Fane 2.1. Økonomisk ramme 2018'!E10:E11,'Fane 2.1. Økonomisk ramme 2018'!E16))*(1+'Fane 2.1. Økonomisk ramme 2018'!E19/100)</f>
        <v>2439311.4116344596</v>
      </c>
      <c r="F10" s="9" t="s">
        <v>4</v>
      </c>
      <c r="G10" s="13"/>
      <c r="H10" s="14"/>
      <c r="I10" s="2"/>
    </row>
    <row r="11" spans="1:9" x14ac:dyDescent="0.25">
      <c r="A11" s="2"/>
      <c r="B11" s="40" t="s">
        <v>168</v>
      </c>
      <c r="C11" s="41"/>
      <c r="D11" s="42"/>
      <c r="E11" s="12">
        <v>0</v>
      </c>
      <c r="F11" s="9" t="s">
        <v>4</v>
      </c>
      <c r="G11" s="13"/>
      <c r="H11" s="14"/>
      <c r="I11" s="2"/>
    </row>
    <row r="12" spans="1:9" x14ac:dyDescent="0.25">
      <c r="A12" s="2"/>
      <c r="B12" s="86" t="s">
        <v>61</v>
      </c>
      <c r="C12" s="72"/>
      <c r="D12" s="73"/>
      <c r="E12" s="12">
        <f>($E$9+E11)*'Fane 2.1. Økonomisk ramme 2018'!E19/100</f>
        <v>1265816.4524679116</v>
      </c>
      <c r="F12" s="9" t="s">
        <v>4</v>
      </c>
      <c r="G12" s="15"/>
      <c r="H12" s="14"/>
      <c r="I12" s="2"/>
    </row>
    <row r="13" spans="1:9" x14ac:dyDescent="0.25">
      <c r="A13" s="2"/>
      <c r="B13" s="86" t="s">
        <v>15</v>
      </c>
      <c r="C13" s="72"/>
      <c r="D13" s="73"/>
      <c r="E13" s="12">
        <f>($E$9+E11-$E$10)*(1+'Fane 2.1. Økonomisk ramme 2018'!E19/100)*'Fane 5. Individuelt eff.krav'!$G$11/100</f>
        <v>946950.23097810266</v>
      </c>
      <c r="F13" s="9" t="s">
        <v>4</v>
      </c>
      <c r="G13" s="15"/>
      <c r="H13" s="14"/>
      <c r="I13" s="2"/>
    </row>
    <row r="14" spans="1:9" x14ac:dyDescent="0.25">
      <c r="A14" s="2"/>
      <c r="B14" s="37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1349492.6367342658</v>
      </c>
      <c r="F14" s="9" t="s">
        <v>4</v>
      </c>
      <c r="G14" s="16"/>
      <c r="H14" s="17"/>
      <c r="I14" s="2"/>
    </row>
    <row r="15" spans="1:9" x14ac:dyDescent="0.25">
      <c r="A15" s="2"/>
      <c r="B15" s="87" t="s">
        <v>178</v>
      </c>
      <c r="C15" s="88"/>
      <c r="D15" s="89"/>
      <c r="E15" s="18">
        <f>$E$9+$E$12-$E$13-$E$14+E11</f>
        <v>71301742.297207639</v>
      </c>
      <c r="F15" s="19" t="s">
        <v>4</v>
      </c>
      <c r="G15" s="18">
        <f>E15</f>
        <v>71301742.297207639</v>
      </c>
      <c r="H15" s="19" t="s">
        <v>4</v>
      </c>
      <c r="I15" s="2"/>
    </row>
    <row r="16" spans="1:9" x14ac:dyDescent="0.25">
      <c r="A16" s="2"/>
      <c r="B16" s="80" t="s">
        <v>17</v>
      </c>
      <c r="C16" s="81"/>
      <c r="D16" s="81"/>
      <c r="E16" s="81"/>
      <c r="F16" s="81"/>
      <c r="G16" s="81"/>
      <c r="H16" s="82"/>
      <c r="I16" s="2"/>
    </row>
    <row r="17" spans="1:9" ht="15" customHeight="1" x14ac:dyDescent="0.25">
      <c r="A17" s="2"/>
      <c r="B17" s="74" t="s">
        <v>55</v>
      </c>
      <c r="C17" s="75"/>
      <c r="D17" s="76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0" t="s">
        <v>107</v>
      </c>
      <c r="C18" s="81"/>
      <c r="D18" s="81"/>
      <c r="E18" s="81"/>
      <c r="F18" s="82"/>
      <c r="G18" s="21">
        <f>G15+G17</f>
        <v>71301742.297207639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3" t="s">
        <v>139</v>
      </c>
      <c r="C3" s="93"/>
      <c r="D3" s="93"/>
      <c r="E3" s="93"/>
      <c r="F3" s="93"/>
      <c r="G3" s="93"/>
      <c r="H3" s="93"/>
      <c r="I3" s="2"/>
    </row>
    <row r="4" spans="1:9" ht="29.2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141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86" t="s">
        <v>110</v>
      </c>
      <c r="C9" s="72"/>
      <c r="D9" s="72"/>
      <c r="E9" s="72"/>
      <c r="F9" s="73"/>
      <c r="G9" s="12">
        <v>29309793.252214681</v>
      </c>
      <c r="H9" s="23" t="s">
        <v>4</v>
      </c>
      <c r="I9" s="2"/>
    </row>
    <row r="10" spans="1:9" x14ac:dyDescent="0.25">
      <c r="A10" s="2"/>
      <c r="B10" s="86" t="s">
        <v>111</v>
      </c>
      <c r="C10" s="72"/>
      <c r="D10" s="72"/>
      <c r="E10" s="72"/>
      <c r="F10" s="73"/>
      <c r="G10" s="12">
        <v>42979387.139067724</v>
      </c>
      <c r="H10" s="23" t="s">
        <v>4</v>
      </c>
      <c r="I10" s="2"/>
    </row>
    <row r="11" spans="1:9" x14ac:dyDescent="0.25">
      <c r="A11" s="2"/>
      <c r="B11" s="86" t="s">
        <v>138</v>
      </c>
      <c r="C11" s="72"/>
      <c r="D11" s="72"/>
      <c r="E11" s="72"/>
      <c r="F11" s="73"/>
      <c r="G11" s="12">
        <v>5509011.4753244994</v>
      </c>
      <c r="H11" s="23" t="s">
        <v>4</v>
      </c>
      <c r="I11" s="2"/>
    </row>
    <row r="12" spans="1:9" ht="17.25" customHeight="1" x14ac:dyDescent="0.25">
      <c r="A12" s="2"/>
      <c r="B12" s="90" t="s">
        <v>143</v>
      </c>
      <c r="C12" s="91"/>
      <c r="D12" s="91"/>
      <c r="E12" s="91"/>
      <c r="F12" s="92"/>
      <c r="G12" s="21">
        <f>SUM(G9:G11)</f>
        <v>77798191.866606906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0" t="s">
        <v>168</v>
      </c>
      <c r="C19" s="81"/>
      <c r="D19" s="81"/>
      <c r="E19" s="81"/>
      <c r="F19" s="81"/>
      <c r="G19" s="81"/>
      <c r="H19" s="82"/>
      <c r="I19" s="2"/>
    </row>
    <row r="20" spans="1:9" x14ac:dyDescent="0.25">
      <c r="A20" s="2"/>
      <c r="B20" s="86" t="s">
        <v>169</v>
      </c>
      <c r="C20" s="72"/>
      <c r="D20" s="72"/>
      <c r="E20" s="72"/>
      <c r="F20" s="73"/>
      <c r="G20" s="12">
        <v>0</v>
      </c>
      <c r="H20" s="23" t="s">
        <v>4</v>
      </c>
      <c r="I20" s="2"/>
    </row>
    <row r="21" spans="1:9" x14ac:dyDescent="0.25">
      <c r="A21" s="2"/>
      <c r="B21" s="86" t="s">
        <v>170</v>
      </c>
      <c r="C21" s="72"/>
      <c r="D21" s="72"/>
      <c r="E21" s="72"/>
      <c r="F21" s="73"/>
      <c r="G21" s="12">
        <v>0</v>
      </c>
      <c r="H21" s="23" t="s">
        <v>4</v>
      </c>
      <c r="I21" s="2"/>
    </row>
    <row r="22" spans="1:9" x14ac:dyDescent="0.25">
      <c r="A22" s="2"/>
      <c r="B22" s="90" t="s">
        <v>171</v>
      </c>
      <c r="C22" s="91"/>
      <c r="D22" s="91"/>
      <c r="E22" s="91"/>
      <c r="F22" s="92"/>
      <c r="G22" s="21">
        <f>SUM(G20:G21)</f>
        <v>0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113</v>
      </c>
      <c r="C8" s="81"/>
      <c r="D8" s="81"/>
      <c r="E8" s="81"/>
      <c r="F8" s="81"/>
      <c r="G8" s="81"/>
      <c r="H8" s="82"/>
      <c r="I8" s="2"/>
    </row>
    <row r="9" spans="1:9" ht="51.75" customHeight="1" x14ac:dyDescent="0.25">
      <c r="A9" s="2"/>
      <c r="B9" s="74" t="s">
        <v>115</v>
      </c>
      <c r="C9" s="75"/>
      <c r="D9" s="76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86" t="s">
        <v>160</v>
      </c>
      <c r="C10" s="72"/>
      <c r="D10" s="72"/>
      <c r="E10" s="102">
        <v>186584.2752</v>
      </c>
      <c r="F10" s="23" t="s">
        <v>4</v>
      </c>
      <c r="G10" s="12">
        <v>187296</v>
      </c>
      <c r="H10" s="23" t="s">
        <v>4</v>
      </c>
      <c r="I10" s="2"/>
    </row>
    <row r="11" spans="1:9" x14ac:dyDescent="0.25">
      <c r="A11" s="2"/>
      <c r="B11" s="86" t="s">
        <v>161</v>
      </c>
      <c r="C11" s="72"/>
      <c r="D11" s="72"/>
      <c r="E11" s="102">
        <v>89273.466799999995</v>
      </c>
      <c r="F11" s="23" t="s">
        <v>4</v>
      </c>
      <c r="G11" s="12">
        <v>94484</v>
      </c>
      <c r="H11" s="23" t="s">
        <v>4</v>
      </c>
      <c r="I11" s="2"/>
    </row>
    <row r="12" spans="1:9" x14ac:dyDescent="0.25">
      <c r="A12" s="2"/>
      <c r="B12" s="86" t="s">
        <v>162</v>
      </c>
      <c r="C12" s="72"/>
      <c r="D12" s="72"/>
      <c r="E12" s="102">
        <v>2971983.3840000001</v>
      </c>
      <c r="F12" s="23" t="s">
        <v>4</v>
      </c>
      <c r="G12" s="12">
        <v>322960</v>
      </c>
      <c r="H12" s="23" t="s">
        <v>4</v>
      </c>
      <c r="I12" s="2"/>
    </row>
    <row r="13" spans="1:9" x14ac:dyDescent="0.25">
      <c r="A13" s="2"/>
      <c r="B13" s="86" t="s">
        <v>163</v>
      </c>
      <c r="C13" s="72"/>
      <c r="D13" s="72"/>
      <c r="E13" s="102">
        <v>32399.4126</v>
      </c>
      <c r="F13" s="23" t="s">
        <v>4</v>
      </c>
      <c r="G13" s="12">
        <v>57634</v>
      </c>
      <c r="H13" s="23" t="s">
        <v>4</v>
      </c>
      <c r="I13" s="2"/>
    </row>
    <row r="14" spans="1:9" x14ac:dyDescent="0.25">
      <c r="A14" s="2"/>
      <c r="B14" s="86" t="s">
        <v>164</v>
      </c>
      <c r="C14" s="72"/>
      <c r="D14" s="72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6" t="s">
        <v>165</v>
      </c>
      <c r="C15" s="72"/>
      <c r="D15" s="72"/>
      <c r="E15" s="102">
        <v>1839940.5558</v>
      </c>
      <c r="F15" s="23" t="s">
        <v>4</v>
      </c>
      <c r="G15" s="12">
        <v>1398974</v>
      </c>
      <c r="H15" s="23" t="s">
        <v>4</v>
      </c>
      <c r="I15" s="2"/>
    </row>
    <row r="16" spans="1:9" x14ac:dyDescent="0.25">
      <c r="A16" s="2"/>
      <c r="B16" s="86" t="s">
        <v>166</v>
      </c>
      <c r="C16" s="72"/>
      <c r="D16" s="72"/>
      <c r="E16" s="102">
        <v>319743.3406</v>
      </c>
      <c r="F16" s="23" t="s">
        <v>4</v>
      </c>
      <c r="G16" s="12">
        <v>320440</v>
      </c>
      <c r="H16" s="23" t="s">
        <v>4</v>
      </c>
      <c r="I16" s="2"/>
    </row>
    <row r="17" spans="1:9" x14ac:dyDescent="0.25">
      <c r="A17" s="2"/>
      <c r="B17" s="86" t="s">
        <v>167</v>
      </c>
      <c r="C17" s="72"/>
      <c r="D17" s="72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0" t="s">
        <v>134</v>
      </c>
      <c r="C18" s="81"/>
      <c r="D18" s="81"/>
      <c r="E18" s="81"/>
      <c r="F18" s="82"/>
      <c r="G18" s="21">
        <f>SUM(G10:G17)-SUM(E10:E17)</f>
        <v>-3058136.4349999996</v>
      </c>
      <c r="H18" s="22" t="s">
        <v>4</v>
      </c>
      <c r="I18" s="2"/>
    </row>
    <row r="19" spans="1:9" x14ac:dyDescent="0.25">
      <c r="A19" s="2"/>
      <c r="B19" s="80" t="s">
        <v>135</v>
      </c>
      <c r="C19" s="81"/>
      <c r="D19" s="81"/>
      <c r="E19" s="81"/>
      <c r="F19" s="82"/>
      <c r="G19" s="21">
        <f>G18*(1+'Fane 2.1. Økonomisk ramme 2018'!E19/100)</f>
        <v>-3111653.8226124998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15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86" t="s">
        <v>51</v>
      </c>
      <c r="C9" s="72"/>
      <c r="D9" s="72"/>
      <c r="E9" s="72"/>
      <c r="F9" s="73"/>
      <c r="G9" s="12">
        <f>'Fane 3. Korrigeret grundlag'!G12-'Fane 3. Korrigeret grundlag'!G11+SUM('Fane 2.1. Økonomisk ramme 2018'!E13:E15,'Fane 2.1. Økonomisk ramme 2018'!E17:E18)</f>
        <v>72289180.391282409</v>
      </c>
      <c r="H9" s="23" t="s">
        <v>4</v>
      </c>
      <c r="I9" s="2"/>
    </row>
    <row r="10" spans="1:9" x14ac:dyDescent="0.25">
      <c r="A10" s="2"/>
      <c r="B10" s="37" t="s">
        <v>187</v>
      </c>
      <c r="C10" s="38"/>
      <c r="D10" s="38"/>
      <c r="E10" s="38"/>
      <c r="F10" s="39"/>
      <c r="G10" s="12">
        <v>-1324984.3791387207</v>
      </c>
      <c r="H10" s="23" t="s">
        <v>4</v>
      </c>
      <c r="I10" s="2"/>
    </row>
    <row r="11" spans="1:9" x14ac:dyDescent="0.25">
      <c r="A11" s="2"/>
      <c r="B11" s="86" t="s">
        <v>37</v>
      </c>
      <c r="C11" s="72"/>
      <c r="D11" s="72"/>
      <c r="E11" s="72"/>
      <c r="F11" s="73"/>
      <c r="G11" s="26">
        <v>1.3315537388260876</v>
      </c>
      <c r="H11" s="23" t="s">
        <v>38</v>
      </c>
      <c r="I11" s="2"/>
    </row>
    <row r="12" spans="1:9" x14ac:dyDescent="0.25">
      <c r="A12" s="2"/>
      <c r="B12" s="80" t="s">
        <v>15</v>
      </c>
      <c r="C12" s="81"/>
      <c r="D12" s="81"/>
      <c r="E12" s="81"/>
      <c r="F12" s="82"/>
      <c r="G12" s="21">
        <f>($G$9+G10)*(1+'Fane 2.1. Økonomisk ramme 2018'!E19/100)*($G$11/100)</f>
        <v>961462.61731905513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53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29309793.252214681</v>
      </c>
      <c r="H9" s="23" t="s">
        <v>4</v>
      </c>
      <c r="I9" s="2"/>
    </row>
    <row r="10" spans="1:9" x14ac:dyDescent="0.25">
      <c r="A10" s="2"/>
      <c r="B10" s="43" t="s">
        <v>186</v>
      </c>
      <c r="C10" s="44"/>
      <c r="D10" s="44"/>
      <c r="E10" s="44"/>
      <c r="F10" s="45"/>
      <c r="G10" s="12">
        <v>-586195.86504429369</v>
      </c>
      <c r="H10" s="23" t="s">
        <v>4</v>
      </c>
      <c r="I10" s="2"/>
    </row>
    <row r="11" spans="1:9" x14ac:dyDescent="0.25">
      <c r="A11" s="2"/>
      <c r="B11" s="86" t="s">
        <v>16</v>
      </c>
      <c r="C11" s="72"/>
      <c r="D11" s="72"/>
      <c r="E11" s="72"/>
      <c r="F11" s="73"/>
      <c r="G11" s="27">
        <f>2</f>
        <v>2</v>
      </c>
      <c r="H11" s="23" t="s">
        <v>38</v>
      </c>
      <c r="I11" s="2"/>
    </row>
    <row r="12" spans="1:9" x14ac:dyDescent="0.25">
      <c r="A12" s="2"/>
      <c r="B12" s="87" t="s">
        <v>39</v>
      </c>
      <c r="C12" s="88"/>
      <c r="D12" s="88"/>
      <c r="E12" s="88"/>
      <c r="F12" s="89"/>
      <c r="G12" s="18">
        <f>($G$9+$G$10)*(1+'Fane 2.1. Økonomisk ramme 2018'!E19/100)*$G$11/100</f>
        <v>584525.20682891749</v>
      </c>
      <c r="H12" s="28" t="s">
        <v>4</v>
      </c>
      <c r="I12" s="2"/>
    </row>
    <row r="13" spans="1:9" x14ac:dyDescent="0.25">
      <c r="A13" s="2"/>
      <c r="B13" s="86" t="s">
        <v>48</v>
      </c>
      <c r="C13" s="72"/>
      <c r="D13" s="72"/>
      <c r="E13" s="72"/>
      <c r="F13" s="73"/>
      <c r="G13" s="12">
        <f>'Fane 3. Korrigeret grundlag'!G10+SUM('Fane 2.1. Økonomisk ramme 2018'!E15,'Fane 2.1. Økonomisk ramme 2018'!E18)</f>
        <v>42979387.139067724</v>
      </c>
      <c r="H13" s="23" t="s">
        <v>4</v>
      </c>
      <c r="I13" s="2"/>
    </row>
    <row r="14" spans="1:9" x14ac:dyDescent="0.25">
      <c r="A14" s="2"/>
      <c r="B14" s="37" t="s">
        <v>188</v>
      </c>
      <c r="C14" s="38"/>
      <c r="D14" s="38"/>
      <c r="E14" s="38"/>
      <c r="F14" s="39"/>
      <c r="G14" s="12">
        <v>-389994.31625783781</v>
      </c>
      <c r="H14" s="23" t="s">
        <v>4</v>
      </c>
      <c r="I14" s="2"/>
    </row>
    <row r="15" spans="1:9" x14ac:dyDescent="0.25">
      <c r="A15" s="2"/>
      <c r="B15" s="86" t="s">
        <v>16</v>
      </c>
      <c r="C15" s="72"/>
      <c r="D15" s="72"/>
      <c r="E15" s="72"/>
      <c r="F15" s="73"/>
      <c r="G15" s="26">
        <v>1.77</v>
      </c>
      <c r="H15" s="23" t="s">
        <v>38</v>
      </c>
      <c r="I15" s="2"/>
    </row>
    <row r="16" spans="1:9" x14ac:dyDescent="0.25">
      <c r="A16" s="2"/>
      <c r="B16" s="87" t="s">
        <v>40</v>
      </c>
      <c r="C16" s="88"/>
      <c r="D16" s="88"/>
      <c r="E16" s="88"/>
      <c r="F16" s="89"/>
      <c r="G16" s="18">
        <f>($G$13+$G$14)*(1+'Fane 2.1. Økonomisk ramme 2018'!E19/100)*$G$15/100</f>
        <v>767024.31739060045</v>
      </c>
      <c r="H16" s="28" t="s">
        <v>4</v>
      </c>
      <c r="I16" s="2"/>
    </row>
    <row r="17" spans="1:9" x14ac:dyDescent="0.25">
      <c r="A17" s="2"/>
      <c r="B17" s="80" t="s">
        <v>52</v>
      </c>
      <c r="C17" s="81"/>
      <c r="D17" s="81"/>
      <c r="E17" s="81"/>
      <c r="F17" s="82"/>
      <c r="G17" s="21">
        <f>G12+G16</f>
        <v>1351549.5242195181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0" t="s">
        <v>54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86" t="s">
        <v>42</v>
      </c>
      <c r="C9" s="72"/>
      <c r="D9" s="72"/>
      <c r="E9" s="72"/>
      <c r="F9" s="73"/>
      <c r="G9" s="12">
        <v>-10316351</v>
      </c>
      <c r="H9" s="23" t="s">
        <v>4</v>
      </c>
      <c r="I9" s="2"/>
    </row>
    <row r="10" spans="1:9" x14ac:dyDescent="0.25">
      <c r="A10" s="2"/>
      <c r="B10" s="86" t="s">
        <v>120</v>
      </c>
      <c r="C10" s="72"/>
      <c r="D10" s="72"/>
      <c r="E10" s="72"/>
      <c r="F10" s="73"/>
      <c r="G10" s="12">
        <v>-10316351.333333334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0.33333333395421505</v>
      </c>
      <c r="H11" s="29" t="s">
        <v>4</v>
      </c>
      <c r="I11" s="2"/>
    </row>
    <row r="12" spans="1:9" x14ac:dyDescent="0.25">
      <c r="A12" s="2"/>
      <c r="B12" s="86" t="s">
        <v>43</v>
      </c>
      <c r="C12" s="72"/>
      <c r="D12" s="72"/>
      <c r="E12" s="72"/>
      <c r="F12" s="73"/>
      <c r="G12" s="12">
        <v>0</v>
      </c>
      <c r="H12" s="23" t="s">
        <v>125</v>
      </c>
      <c r="I12" s="2"/>
    </row>
    <row r="13" spans="1:9" x14ac:dyDescent="0.25">
      <c r="A13" s="2"/>
      <c r="B13" s="80" t="s">
        <v>41</v>
      </c>
      <c r="C13" s="81"/>
      <c r="D13" s="81"/>
      <c r="E13" s="81"/>
      <c r="F13" s="82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0" t="s">
        <v>75</v>
      </c>
      <c r="C8" s="81"/>
      <c r="D8" s="81"/>
      <c r="E8" s="81"/>
      <c r="F8" s="81"/>
      <c r="G8" s="82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3" t="s">
        <v>146</v>
      </c>
      <c r="C10" s="30">
        <v>2016</v>
      </c>
      <c r="D10" s="30">
        <v>75</v>
      </c>
      <c r="E10" s="12">
        <v>20742210</v>
      </c>
      <c r="F10" s="12">
        <f>E10/D10</f>
        <v>276562.8</v>
      </c>
      <c r="G10" s="23" t="s">
        <v>4</v>
      </c>
      <c r="H10" s="2"/>
    </row>
    <row r="11" spans="1:8" x14ac:dyDescent="0.25">
      <c r="A11" s="2"/>
      <c r="B11" s="103" t="s">
        <v>147</v>
      </c>
      <c r="C11" s="30">
        <v>2016</v>
      </c>
      <c r="D11" s="30">
        <v>75</v>
      </c>
      <c r="E11" s="12">
        <v>1920173</v>
      </c>
      <c r="F11" s="12">
        <f t="shared" ref="F11:F24" si="0">E11/D11</f>
        <v>25602.306666666667</v>
      </c>
      <c r="G11" s="23" t="s">
        <v>4</v>
      </c>
      <c r="H11" s="2"/>
    </row>
    <row r="12" spans="1:8" x14ac:dyDescent="0.25">
      <c r="A12" s="2"/>
      <c r="B12" s="103" t="s">
        <v>148</v>
      </c>
      <c r="C12" s="30">
        <v>2016</v>
      </c>
      <c r="D12" s="30">
        <v>50</v>
      </c>
      <c r="E12" s="12">
        <v>2924151</v>
      </c>
      <c r="F12" s="12">
        <f t="shared" si="0"/>
        <v>58483.02</v>
      </c>
      <c r="G12" s="23" t="s">
        <v>4</v>
      </c>
      <c r="H12" s="2"/>
    </row>
    <row r="13" spans="1:8" ht="26.25" x14ac:dyDescent="0.25">
      <c r="A13" s="2"/>
      <c r="B13" s="103" t="s">
        <v>149</v>
      </c>
      <c r="C13" s="30">
        <v>2016</v>
      </c>
      <c r="D13" s="30">
        <v>50</v>
      </c>
      <c r="E13" s="12">
        <v>1627995</v>
      </c>
      <c r="F13" s="12">
        <f t="shared" si="0"/>
        <v>32559.9</v>
      </c>
      <c r="G13" s="23" t="s">
        <v>4</v>
      </c>
      <c r="H13" s="2"/>
    </row>
    <row r="14" spans="1:8" x14ac:dyDescent="0.25">
      <c r="A14" s="2"/>
      <c r="B14" s="103" t="s">
        <v>150</v>
      </c>
      <c r="C14" s="30">
        <v>2016</v>
      </c>
      <c r="D14" s="30">
        <v>20</v>
      </c>
      <c r="E14" s="12">
        <v>230233</v>
      </c>
      <c r="F14" s="12">
        <f t="shared" si="0"/>
        <v>11511.65</v>
      </c>
      <c r="G14" s="23" t="s">
        <v>4</v>
      </c>
      <c r="H14" s="2"/>
    </row>
    <row r="15" spans="1:8" x14ac:dyDescent="0.25">
      <c r="A15" s="2"/>
      <c r="B15" s="103" t="s">
        <v>151</v>
      </c>
      <c r="C15" s="30">
        <v>2016</v>
      </c>
      <c r="D15" s="30">
        <v>5</v>
      </c>
      <c r="E15" s="12">
        <v>187968</v>
      </c>
      <c r="F15" s="12">
        <f t="shared" si="0"/>
        <v>37593.599999999999</v>
      </c>
      <c r="G15" s="23" t="s">
        <v>4</v>
      </c>
      <c r="H15" s="2"/>
    </row>
    <row r="16" spans="1:8" x14ac:dyDescent="0.25">
      <c r="A16" s="2"/>
      <c r="B16" s="103" t="s">
        <v>152</v>
      </c>
      <c r="C16" s="30">
        <v>2016</v>
      </c>
      <c r="D16" s="30">
        <v>60</v>
      </c>
      <c r="E16" s="12">
        <v>35000</v>
      </c>
      <c r="F16" s="12">
        <f t="shared" si="0"/>
        <v>583.33333333333337</v>
      </c>
      <c r="G16" s="23" t="s">
        <v>4</v>
      </c>
      <c r="H16" s="2"/>
    </row>
    <row r="17" spans="1:8" x14ac:dyDescent="0.25">
      <c r="A17" s="2"/>
      <c r="B17" s="103" t="s">
        <v>153</v>
      </c>
      <c r="C17" s="30">
        <v>2016</v>
      </c>
      <c r="D17" s="30">
        <v>75</v>
      </c>
      <c r="E17" s="12">
        <v>833613</v>
      </c>
      <c r="F17" s="12">
        <f t="shared" si="0"/>
        <v>11114.84</v>
      </c>
      <c r="G17" s="23" t="s">
        <v>4</v>
      </c>
      <c r="H17" s="2"/>
    </row>
    <row r="18" spans="1:8" ht="26.25" x14ac:dyDescent="0.25">
      <c r="A18" s="2"/>
      <c r="B18" s="103" t="s">
        <v>154</v>
      </c>
      <c r="C18" s="30">
        <v>2016</v>
      </c>
      <c r="D18" s="30">
        <v>50</v>
      </c>
      <c r="E18" s="12">
        <v>8002393</v>
      </c>
      <c r="F18" s="12">
        <f t="shared" si="0"/>
        <v>160047.85999999999</v>
      </c>
      <c r="G18" s="23" t="s">
        <v>4</v>
      </c>
      <c r="H18" s="2"/>
    </row>
    <row r="19" spans="1:8" x14ac:dyDescent="0.25">
      <c r="A19" s="2"/>
      <c r="B19" s="103" t="s">
        <v>155</v>
      </c>
      <c r="C19" s="30">
        <v>2016</v>
      </c>
      <c r="D19" s="30">
        <v>75</v>
      </c>
      <c r="E19" s="12">
        <v>446544</v>
      </c>
      <c r="F19" s="12">
        <f t="shared" si="0"/>
        <v>5953.92</v>
      </c>
      <c r="G19" s="23" t="s">
        <v>4</v>
      </c>
      <c r="H19" s="2"/>
    </row>
    <row r="20" spans="1:8" x14ac:dyDescent="0.25">
      <c r="A20" s="2"/>
      <c r="B20" s="103" t="s">
        <v>156</v>
      </c>
      <c r="C20" s="30">
        <v>2016</v>
      </c>
      <c r="D20" s="30">
        <v>20</v>
      </c>
      <c r="E20" s="12">
        <v>190252</v>
      </c>
      <c r="F20" s="12">
        <f t="shared" si="0"/>
        <v>9512.6</v>
      </c>
      <c r="G20" s="23" t="s">
        <v>4</v>
      </c>
      <c r="H20" s="2"/>
    </row>
    <row r="21" spans="1:8" x14ac:dyDescent="0.25">
      <c r="A21" s="2"/>
      <c r="B21" s="103" t="s">
        <v>157</v>
      </c>
      <c r="C21" s="30">
        <v>2016</v>
      </c>
      <c r="D21" s="30">
        <v>10</v>
      </c>
      <c r="E21" s="12">
        <v>75890</v>
      </c>
      <c r="F21" s="12">
        <f t="shared" si="0"/>
        <v>7589</v>
      </c>
      <c r="G21" s="23" t="s">
        <v>4</v>
      </c>
      <c r="H21" s="2"/>
    </row>
    <row r="22" spans="1:8" x14ac:dyDescent="0.25">
      <c r="A22" s="2"/>
      <c r="B22" s="103" t="s">
        <v>158</v>
      </c>
      <c r="C22" s="30">
        <v>2016</v>
      </c>
      <c r="D22" s="30">
        <v>75</v>
      </c>
      <c r="E22" s="12">
        <v>886435</v>
      </c>
      <c r="F22" s="12">
        <f t="shared" si="0"/>
        <v>11819.133333333333</v>
      </c>
      <c r="G22" s="23" t="s">
        <v>4</v>
      </c>
      <c r="H22" s="2"/>
    </row>
    <row r="23" spans="1:8" x14ac:dyDescent="0.25">
      <c r="A23" s="2"/>
      <c r="B23" s="103" t="s">
        <v>150</v>
      </c>
      <c r="C23" s="30">
        <v>2016</v>
      </c>
      <c r="D23" s="30">
        <v>20</v>
      </c>
      <c r="E23" s="12">
        <v>84823</v>
      </c>
      <c r="F23" s="12">
        <f t="shared" si="0"/>
        <v>4241.1499999999996</v>
      </c>
      <c r="G23" s="23" t="s">
        <v>4</v>
      </c>
      <c r="H23" s="2"/>
    </row>
    <row r="24" spans="1:8" x14ac:dyDescent="0.25">
      <c r="A24" s="2"/>
      <c r="B24" s="103" t="s">
        <v>159</v>
      </c>
      <c r="C24" s="30">
        <v>2016</v>
      </c>
      <c r="D24" s="30">
        <v>5</v>
      </c>
      <c r="E24" s="12">
        <v>217541</v>
      </c>
      <c r="F24" s="12">
        <f t="shared" si="0"/>
        <v>43508.2</v>
      </c>
      <c r="G24" s="23" t="s">
        <v>4</v>
      </c>
      <c r="H24" s="2"/>
    </row>
    <row r="25" spans="1:8" x14ac:dyDescent="0.25">
      <c r="A25" s="2"/>
      <c r="B25" s="80" t="s">
        <v>76</v>
      </c>
      <c r="C25" s="81"/>
      <c r="D25" s="81"/>
      <c r="E25" s="82"/>
      <c r="F25" s="21">
        <f>SUM(F10:F24)</f>
        <v>696683.31333333335</v>
      </c>
      <c r="G25" s="22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2018-08-10T11:55:45Z</dcterms:modified>
</cp:coreProperties>
</file>