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1050" windowWidth="12735" windowHeight="1164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4" i="15" l="1"/>
  <c r="G13" i="9" l="1"/>
  <c r="G9" i="9"/>
  <c r="G9" i="8"/>
  <c r="G13" i="10" l="1"/>
  <c r="G16" i="9" l="1"/>
  <c r="E12" i="2"/>
  <c r="G11" i="10" l="1"/>
  <c r="F18" i="20"/>
  <c r="F19" i="20" s="1"/>
  <c r="E16" i="2" s="1"/>
  <c r="G22" i="7"/>
  <c r="E13" i="2" s="1"/>
  <c r="G12" i="9" l="1"/>
  <c r="G12" i="8"/>
  <c r="G19" i="19"/>
  <c r="G20" i="19" s="1"/>
  <c r="E11" i="2" s="1"/>
  <c r="F18" i="11" l="1"/>
  <c r="F17" i="11"/>
  <c r="F16" i="11"/>
  <c r="F15" i="11"/>
  <c r="F14" i="11"/>
  <c r="F13" i="11"/>
  <c r="F12" i="11"/>
  <c r="F11" i="21" l="1"/>
  <c r="F12" i="21" s="1"/>
  <c r="D11" i="21"/>
  <c r="D12" i="21" s="1"/>
  <c r="G41" i="12"/>
  <c r="F11" i="20" l="1"/>
  <c r="F12" i="20" s="1"/>
  <c r="E15" i="2" s="1"/>
  <c r="D11" i="20"/>
  <c r="D12" i="20" s="1"/>
  <c r="E14" i="2" s="1"/>
  <c r="E18" i="2"/>
  <c r="E17" i="2"/>
  <c r="E10" i="2" l="1"/>
  <c r="E10" i="15" s="1"/>
  <c r="G12" i="7"/>
  <c r="E9" i="2" l="1"/>
  <c r="E15" i="13"/>
  <c r="F11" i="11"/>
  <c r="F19" i="11"/>
  <c r="E20" i="2" l="1"/>
  <c r="E17" i="15"/>
  <c r="G17" i="15" s="1"/>
  <c r="E32" i="2" l="1"/>
  <c r="G11" i="9" l="1"/>
  <c r="G30" i="13"/>
  <c r="E35" i="13" l="1"/>
  <c r="G35" i="13" s="1"/>
  <c r="E27" i="13"/>
  <c r="E19" i="13"/>
  <c r="G11" i="12"/>
  <c r="E27" i="2" s="1"/>
  <c r="G29" i="12"/>
  <c r="E30" i="2" s="1"/>
  <c r="G23" i="12"/>
  <c r="E29" i="2" s="1"/>
  <c r="G17" i="12"/>
  <c r="E28" i="2" s="1"/>
  <c r="F10" i="11"/>
  <c r="F20" i="11" s="1"/>
  <c r="E25" i="2"/>
  <c r="G25" i="2" s="1"/>
  <c r="G33" i="12" l="1"/>
  <c r="G35" i="12" s="1"/>
  <c r="E31" i="2" s="1"/>
  <c r="E28" i="13"/>
  <c r="G28" i="13" s="1"/>
  <c r="G36" i="13" s="1"/>
  <c r="E35" i="2" s="1"/>
  <c r="G35" i="2" s="1"/>
  <c r="G17" i="9"/>
  <c r="E22" i="2" s="1"/>
  <c r="E33" i="2" l="1"/>
  <c r="G33" i="2" s="1"/>
  <c r="E21" i="2" l="1"/>
  <c r="E23" i="2" s="1"/>
  <c r="G23" i="2" l="1"/>
  <c r="E9" i="15" s="1"/>
  <c r="G36" i="2" l="1"/>
  <c r="E13" i="15" l="1"/>
  <c r="E12" i="15"/>
  <c r="E15" i="15" l="1"/>
  <c r="G15" i="15" s="1"/>
  <c r="G18" i="15" s="1"/>
</calcChain>
</file>

<file path=xl/sharedStrings.xml><?xml version="1.0" encoding="utf-8"?>
<sst xmlns="http://schemas.openxmlformats.org/spreadsheetml/2006/main" count="374" uniqueCount="191">
  <si>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</si>
  <si>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</si>
  <si>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</si>
  <si>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</si>
  <si>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</si>
  <si>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</si>
  <si>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</si>
  <si>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</si>
  <si>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</si>
  <si>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</si>
  <si>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</si>
  <si>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</si>
  <si>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</si>
  <si>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</si>
  <si>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</si>
  <si>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</si>
  <si>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</si>
  <si>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</si>
  <si>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</si>
  <si>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</si>
  <si>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</si>
  <si>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</si>
  <si>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</si>
  <si>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</si>
  <si>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</si>
  <si>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</si>
  <si>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</si>
  <si>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</si>
  <si>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</si>
  <si>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</si>
  <si>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</si>
  <si>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</si>
  <si>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</si>
  <si>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</si>
  <si>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</si>
  <si>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</si>
  <si>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</si>
  <si>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</si>
  <si>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</si>
  <si>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</si>
  <si>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</si>
  <si>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</si>
  <si>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</si>
  <si>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</si>
  <si>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</si>
  <si>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</si>
  <si>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</si>
  <si>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</si>
  <si>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</si>
  <si>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</si>
  <si>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</si>
  <si>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</si>
  <si>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</si>
  <si>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</si>
  <si>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</si>
  <si>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</si>
  <si>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</si>
  <si>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</si>
  <si>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</si>
  <si>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</si>
  <si>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</si>
  <si>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</si>
  <si>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</si>
  <si>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</si>
  <si>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</si>
  <si>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</si>
  <si>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</si>
  <si>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</si>
  <si>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</si>
  <si>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</si>
  <si>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</si>
  <si>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</si>
  <si>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</si>
  <si>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</si>
  <si>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</si>
  <si>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</si>
  <si>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</si>
  <si>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</si>
  <si>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Korrektion for faktiske afholdte periodevise driftsomkostninger i 2016</t>
  </si>
  <si>
    <t>Del af godkendt tillæg i prislofterne vedrørende omkostninger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</si>
  <si>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</si>
  <si>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</si>
  <si>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</si>
  <si>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</si>
  <si>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</si>
  <si>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</si>
  <si>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</si>
  <si>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</si>
  <si>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</si>
  <si>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</si>
  <si>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</si>
  <si>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</si>
  <si>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</si>
  <si>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</si>
  <si>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</si>
  <si>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</si>
  <si>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</si>
  <si>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</si>
  <si>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</si>
  <si>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</si>
  <si>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</si>
  <si>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</si>
  <si>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</si>
  <si>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</si>
  <si>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</si>
  <si>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</si>
  <si>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</si>
  <si>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</si>
  <si>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</si>
  <si>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</si>
  <si>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</si>
  <si>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</si>
  <si>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</si>
  <si>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</si>
  <si>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</si>
  <si>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</si>
  <si>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</si>
  <si>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</si>
  <si>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</si>
  <si>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</si>
  <si>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</si>
  <si>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</si>
  <si>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</si>
  <si>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</si>
  <si>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</si>
  <si>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</si>
  <si>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</si>
  <si>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</si>
  <si>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</si>
  <si>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</si>
  <si>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</si>
  <si>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</si>
  <si>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</si>
  <si>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</si>
  <si>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</si>
  <si>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</si>
  <si>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</si>
  <si>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</si>
  <si>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</si>
  <si>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</si>
  <si>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</si>
  <si>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</si>
  <si>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</si>
  <si>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</si>
  <si>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</si>
  <si>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</si>
  <si>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Selskabets faktiske udgifter til periodevise driftsomkostninger i 2016</t>
  </si>
  <si>
    <t>Bortfald eller nedsættelse i alt i 2017-niveau</t>
  </si>
  <si>
    <t>Nye tillæg i alt i 2017-niveau</t>
  </si>
  <si>
    <t>Indløb-/udløbsarrangement</t>
  </si>
  <si>
    <t>SRO</t>
  </si>
  <si>
    <t>Modelberegner</t>
  </si>
  <si>
    <t>Strømpeforing Ø 200 mm &lt; Ledningsnet ≤ Ø 500 mm</t>
  </si>
  <si>
    <t>Brønde</t>
  </si>
  <si>
    <t>Pumpestationer i brønde (&lt; 6,25 m2), Konstruktioner</t>
  </si>
  <si>
    <t>Ø 500 mm &lt; Ledningsnet ≤ Ø 800 mm</t>
  </si>
  <si>
    <t>Stik</t>
  </si>
  <si>
    <t>Pumpestationer i brønde (&lt; 6,25 m2), Mek/EL</t>
  </si>
  <si>
    <t>Pumpestationer i brønde (&lt; 6,25 m2), SRO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</si>
  <si>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</si>
  <si>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</si>
  <si>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</si>
  <si>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</si>
  <si>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</si>
  <si>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</si>
  <si>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</si>
  <si>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</si>
  <si>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Driftsomkostninger til medfinansering af klimatilpasningsprojekter </t>
  </si>
  <si>
    <t>Periodevise driftsomkostninger</t>
  </si>
  <si>
    <t>Tidligere godkendt tillæg efter PL-bkg. § 8</t>
  </si>
  <si>
    <t>Nye tillæg godkendt efter ØR-bkg. § 16, stk. 4</t>
  </si>
  <si>
    <t>Periodevise driftsomkostninger i den økonomiske ramme (i 2017-niveau)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</si>
  <si>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</si>
  <si>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</si>
  <si>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</si>
  <si>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</si>
  <si>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</si>
  <si>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</si>
  <si>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</si>
  <si>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</si>
  <si>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</si>
  <si>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</si>
  <si>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</si>
  <si>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</si>
  <si>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Korrektion af tillæg for periodevise driftsomkostninger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</si>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</sst>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10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1" fillId="4" borderId="1" xfId="0" applyNumberFormat="1" applyFont="1" applyFill="1" applyBorder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3" fontId="8" fillId="10" borderId="1" xfId="1" applyNumberFormat="1" applyFont="1" applyFill="1" applyBorder="1" applyAlignment="1" applyProtection="1"/>
    <xf numFmtId="0" fontId="8" fillId="10" borderId="1" xfId="0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/>
    </xf>
    <xf numFmtId="49" fontId="8" fillId="10" borderId="3" xfId="0" applyNumberFormat="1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/>
    <xf numFmtId="49" fontId="8" fillId="10" borderId="10" xfId="0" applyNumberFormat="1" applyFont="1" applyFill="1" applyBorder="1" applyAlignment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6" t="s">
        <v>5</v>
      </c>
      <c r="E6" s="56"/>
      <c r="F6" s="56"/>
      <c r="G6" s="56"/>
      <c r="H6" s="4"/>
      <c r="I6" s="2"/>
    </row>
    <row r="7" spans="1:9" ht="15" customHeight="1" x14ac:dyDescent="0.25">
      <c r="A7" s="2"/>
      <c r="B7" s="2"/>
      <c r="C7" s="4"/>
      <c r="D7" s="56"/>
      <c r="E7" s="56"/>
      <c r="F7" s="56"/>
      <c r="G7" s="56"/>
      <c r="H7" s="4"/>
      <c r="I7" s="2"/>
    </row>
    <row r="8" spans="1:9" ht="15.75" x14ac:dyDescent="0.25">
      <c r="A8" s="2"/>
      <c r="B8" s="2"/>
      <c r="C8" s="5"/>
      <c r="D8" s="61" t="s">
        <v>124</v>
      </c>
      <c r="E8" s="61"/>
      <c r="F8" s="61"/>
      <c r="G8" s="61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0" t="s">
        <v>6</v>
      </c>
      <c r="E11" s="60"/>
      <c r="F11" s="60"/>
      <c r="G11" s="60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53" t="s">
        <v>69</v>
      </c>
      <c r="E13" s="54"/>
      <c r="F13" s="54"/>
      <c r="G13" s="55"/>
      <c r="H13" s="2"/>
      <c r="I13" s="2"/>
    </row>
    <row r="14" spans="1:9" x14ac:dyDescent="0.25">
      <c r="A14" s="2"/>
      <c r="B14" s="2"/>
      <c r="C14" s="7" t="s">
        <v>68</v>
      </c>
      <c r="D14" s="53" t="s">
        <v>70</v>
      </c>
      <c r="E14" s="54"/>
      <c r="F14" s="54"/>
      <c r="G14" s="55"/>
      <c r="H14" s="2"/>
      <c r="I14" s="2"/>
    </row>
    <row r="15" spans="1:9" x14ac:dyDescent="0.25">
      <c r="A15" s="2"/>
      <c r="B15" s="2"/>
      <c r="C15" s="7" t="s">
        <v>8</v>
      </c>
      <c r="D15" s="62" t="s">
        <v>63</v>
      </c>
      <c r="E15" s="63"/>
      <c r="F15" s="63"/>
      <c r="G15" s="64"/>
      <c r="H15" s="2"/>
      <c r="I15" s="2"/>
    </row>
    <row r="16" spans="1:9" x14ac:dyDescent="0.25">
      <c r="A16" s="2"/>
      <c r="B16" s="2"/>
      <c r="C16" s="7" t="s">
        <v>9</v>
      </c>
      <c r="D16" s="62" t="s">
        <v>49</v>
      </c>
      <c r="E16" s="63"/>
      <c r="F16" s="63"/>
      <c r="G16" s="64"/>
      <c r="H16" s="2"/>
      <c r="I16" s="2"/>
    </row>
    <row r="17" spans="1:9" x14ac:dyDescent="0.25">
      <c r="A17" s="2"/>
      <c r="B17" s="2"/>
      <c r="C17" s="7" t="s">
        <v>10</v>
      </c>
      <c r="D17" s="65" t="s">
        <v>15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16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68" t="s">
        <v>17</v>
      </c>
      <c r="E19" s="69"/>
      <c r="F19" s="69"/>
      <c r="G19" s="70"/>
      <c r="H19" s="2"/>
      <c r="I19" s="2"/>
    </row>
    <row r="20" spans="1:9" x14ac:dyDescent="0.25">
      <c r="A20" s="2"/>
      <c r="B20" s="2"/>
      <c r="C20" s="7" t="s">
        <v>13</v>
      </c>
      <c r="D20" s="57" t="s">
        <v>75</v>
      </c>
      <c r="E20" s="58"/>
      <c r="F20" s="58"/>
      <c r="G20" s="59"/>
      <c r="H20" s="2"/>
      <c r="I20" s="2"/>
    </row>
    <row r="21" spans="1:9" x14ac:dyDescent="0.25">
      <c r="A21" s="2"/>
      <c r="B21" s="2"/>
      <c r="C21" s="7" t="s">
        <v>14</v>
      </c>
      <c r="D21" s="57" t="s">
        <v>100</v>
      </c>
      <c r="E21" s="58"/>
      <c r="F21" s="58"/>
      <c r="G21" s="59"/>
      <c r="H21" s="2"/>
      <c r="I21" s="2"/>
    </row>
    <row r="22" spans="1:9" x14ac:dyDescent="0.25">
      <c r="A22" s="2"/>
      <c r="B22" s="2"/>
      <c r="C22" s="7" t="s">
        <v>59</v>
      </c>
      <c r="D22" s="47" t="s">
        <v>144</v>
      </c>
      <c r="E22" s="48"/>
      <c r="F22" s="48"/>
      <c r="G22" s="49"/>
      <c r="H22" s="2"/>
      <c r="I22" s="2"/>
    </row>
    <row r="23" spans="1:9" x14ac:dyDescent="0.25">
      <c r="A23" s="2"/>
      <c r="B23" s="2"/>
      <c r="C23" s="7" t="s">
        <v>66</v>
      </c>
      <c r="D23" s="50" t="s">
        <v>65</v>
      </c>
      <c r="E23" s="51"/>
      <c r="F23" s="51"/>
      <c r="G23" s="52"/>
      <c r="H23" s="2"/>
      <c r="I23" s="2"/>
    </row>
    <row r="24" spans="1:9" x14ac:dyDescent="0.25">
      <c r="A24" s="2"/>
      <c r="B24" s="2"/>
      <c r="C24" s="7" t="s">
        <v>67</v>
      </c>
      <c r="D24" s="50" t="s">
        <v>64</v>
      </c>
      <c r="E24" s="51"/>
      <c r="F24" s="51"/>
      <c r="G24" s="5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3" t="s">
        <v>77</v>
      </c>
      <c r="C3" s="93"/>
      <c r="D3" s="93"/>
      <c r="E3" s="93"/>
      <c r="F3" s="93"/>
      <c r="G3" s="93"/>
      <c r="H3" s="93"/>
      <c r="I3" s="2"/>
    </row>
    <row r="4" spans="1:9" ht="15" customHeight="1" x14ac:dyDescent="0.25">
      <c r="A4" s="2"/>
      <c r="B4" s="93"/>
      <c r="C4" s="93"/>
      <c r="D4" s="93"/>
      <c r="E4" s="93"/>
      <c r="F4" s="93"/>
      <c r="G4" s="93"/>
      <c r="H4" s="9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90" t="s">
        <v>179</v>
      </c>
      <c r="C8" s="91"/>
      <c r="D8" s="91"/>
      <c r="E8" s="91"/>
      <c r="F8" s="91"/>
      <c r="G8" s="91"/>
      <c r="H8" s="92"/>
      <c r="I8" s="2"/>
    </row>
    <row r="9" spans="1:9" x14ac:dyDescent="0.25">
      <c r="A9" s="2"/>
      <c r="B9" s="75" t="s">
        <v>80</v>
      </c>
      <c r="C9" s="76"/>
      <c r="D9" s="76"/>
      <c r="E9" s="76"/>
      <c r="F9" s="77"/>
      <c r="G9" s="12">
        <v>18148102</v>
      </c>
      <c r="H9" s="23" t="s">
        <v>4</v>
      </c>
      <c r="I9" s="2"/>
    </row>
    <row r="10" spans="1:9" x14ac:dyDescent="0.25">
      <c r="A10" s="2"/>
      <c r="B10" s="75" t="s">
        <v>81</v>
      </c>
      <c r="C10" s="76"/>
      <c r="D10" s="76"/>
      <c r="E10" s="76"/>
      <c r="F10" s="77"/>
      <c r="G10" s="12">
        <v>13572149</v>
      </c>
      <c r="H10" s="23" t="s">
        <v>4</v>
      </c>
      <c r="I10" s="2"/>
    </row>
    <row r="11" spans="1:9" x14ac:dyDescent="0.25">
      <c r="A11" s="2"/>
      <c r="B11" s="85" t="s">
        <v>180</v>
      </c>
      <c r="C11" s="86"/>
      <c r="D11" s="86"/>
      <c r="E11" s="86"/>
      <c r="F11" s="87"/>
      <c r="G11" s="21">
        <f>G9-G10</f>
        <v>4575953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90" t="s">
        <v>181</v>
      </c>
      <c r="C14" s="91"/>
      <c r="D14" s="91"/>
      <c r="E14" s="91"/>
      <c r="F14" s="91"/>
      <c r="G14" s="91"/>
      <c r="H14" s="92"/>
      <c r="I14" s="2"/>
    </row>
    <row r="15" spans="1:9" x14ac:dyDescent="0.25">
      <c r="A15" s="2"/>
      <c r="B15" s="75" t="s">
        <v>82</v>
      </c>
      <c r="C15" s="76"/>
      <c r="D15" s="76"/>
      <c r="E15" s="76"/>
      <c r="F15" s="77"/>
      <c r="G15" s="12">
        <v>1265455</v>
      </c>
      <c r="H15" s="23" t="s">
        <v>4</v>
      </c>
      <c r="I15" s="2"/>
    </row>
    <row r="16" spans="1:9" x14ac:dyDescent="0.25">
      <c r="A16" s="2"/>
      <c r="B16" s="75" t="s">
        <v>83</v>
      </c>
      <c r="C16" s="76"/>
      <c r="D16" s="76"/>
      <c r="E16" s="76"/>
      <c r="F16" s="77"/>
      <c r="G16" s="12">
        <v>400000</v>
      </c>
      <c r="H16" s="23" t="s">
        <v>4</v>
      </c>
      <c r="I16" s="2"/>
    </row>
    <row r="17" spans="1:9" x14ac:dyDescent="0.25">
      <c r="A17" s="2"/>
      <c r="B17" s="85" t="s">
        <v>181</v>
      </c>
      <c r="C17" s="86"/>
      <c r="D17" s="86"/>
      <c r="E17" s="86"/>
      <c r="F17" s="87"/>
      <c r="G17" s="21">
        <f>G15-G16</f>
        <v>865455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90" t="s">
        <v>182</v>
      </c>
      <c r="C20" s="91"/>
      <c r="D20" s="91"/>
      <c r="E20" s="91"/>
      <c r="F20" s="91"/>
      <c r="G20" s="91"/>
      <c r="H20" s="92"/>
      <c r="I20" s="2"/>
    </row>
    <row r="21" spans="1:9" x14ac:dyDescent="0.25">
      <c r="A21" s="2"/>
      <c r="B21" s="75" t="s">
        <v>84</v>
      </c>
      <c r="C21" s="76"/>
      <c r="D21" s="76"/>
      <c r="E21" s="76"/>
      <c r="F21" s="77"/>
      <c r="G21" s="12">
        <v>538078</v>
      </c>
      <c r="H21" s="23" t="s">
        <v>4</v>
      </c>
      <c r="I21" s="2"/>
    </row>
    <row r="22" spans="1:9" x14ac:dyDescent="0.25">
      <c r="A22" s="2"/>
      <c r="B22" s="75" t="s">
        <v>85</v>
      </c>
      <c r="C22" s="76"/>
      <c r="D22" s="76"/>
      <c r="E22" s="76"/>
      <c r="F22" s="77"/>
      <c r="G22" s="12">
        <v>1426528</v>
      </c>
      <c r="H22" s="23" t="s">
        <v>4</v>
      </c>
      <c r="I22" s="2"/>
    </row>
    <row r="23" spans="1:9" x14ac:dyDescent="0.25">
      <c r="A23" s="2"/>
      <c r="B23" s="85" t="s">
        <v>182</v>
      </c>
      <c r="C23" s="86"/>
      <c r="D23" s="86"/>
      <c r="E23" s="86"/>
      <c r="F23" s="87"/>
      <c r="G23" s="21">
        <f>G21-G22</f>
        <v>-888450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90" t="s">
        <v>183</v>
      </c>
      <c r="C26" s="91"/>
      <c r="D26" s="91"/>
      <c r="E26" s="91"/>
      <c r="F26" s="91"/>
      <c r="G26" s="91"/>
      <c r="H26" s="92"/>
      <c r="I26" s="2"/>
    </row>
    <row r="27" spans="1:9" ht="29.25" customHeight="1" x14ac:dyDescent="0.25">
      <c r="A27" s="2"/>
      <c r="B27" s="72" t="s">
        <v>86</v>
      </c>
      <c r="C27" s="73"/>
      <c r="D27" s="73"/>
      <c r="E27" s="73"/>
      <c r="F27" s="74"/>
      <c r="G27" s="12">
        <v>0</v>
      </c>
      <c r="H27" s="23" t="s">
        <v>4</v>
      </c>
      <c r="I27" s="2"/>
    </row>
    <row r="28" spans="1:9" x14ac:dyDescent="0.25">
      <c r="A28" s="2"/>
      <c r="B28" s="75" t="s">
        <v>87</v>
      </c>
      <c r="C28" s="76"/>
      <c r="D28" s="76"/>
      <c r="E28" s="76"/>
      <c r="F28" s="77"/>
      <c r="G28" s="12">
        <v>320021</v>
      </c>
      <c r="H28" s="23" t="s">
        <v>4</v>
      </c>
      <c r="I28" s="2"/>
    </row>
    <row r="29" spans="1:9" ht="15" customHeight="1" x14ac:dyDescent="0.25">
      <c r="A29" s="2"/>
      <c r="B29" s="90" t="s">
        <v>183</v>
      </c>
      <c r="C29" s="91"/>
      <c r="D29" s="91"/>
      <c r="E29" s="91"/>
      <c r="F29" s="92"/>
      <c r="G29" s="21">
        <f>G27-G28</f>
        <v>-320021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90" t="s">
        <v>88</v>
      </c>
      <c r="C32" s="91"/>
      <c r="D32" s="91"/>
      <c r="E32" s="91"/>
      <c r="F32" s="91"/>
      <c r="G32" s="91"/>
      <c r="H32" s="92"/>
      <c r="I32" s="2"/>
    </row>
    <row r="33" spans="1:9" x14ac:dyDescent="0.25">
      <c r="A33" s="2"/>
      <c r="B33" s="75" t="s">
        <v>89</v>
      </c>
      <c r="C33" s="76"/>
      <c r="D33" s="76"/>
      <c r="E33" s="76"/>
      <c r="F33" s="77"/>
      <c r="G33" s="12">
        <f>'Fane 8. Gen. inv. i 2016'!F20</f>
        <v>442688.97943333327</v>
      </c>
      <c r="H33" s="23" t="s">
        <v>4</v>
      </c>
      <c r="I33" s="2"/>
    </row>
    <row r="34" spans="1:9" x14ac:dyDescent="0.25">
      <c r="A34" s="2"/>
      <c r="B34" s="75" t="s">
        <v>90</v>
      </c>
      <c r="C34" s="76"/>
      <c r="D34" s="76"/>
      <c r="E34" s="76"/>
      <c r="F34" s="77"/>
      <c r="G34" s="12">
        <v>500040</v>
      </c>
      <c r="H34" s="23" t="s">
        <v>4</v>
      </c>
      <c r="I34" s="2"/>
    </row>
    <row r="35" spans="1:9" x14ac:dyDescent="0.25">
      <c r="A35" s="2"/>
      <c r="B35" s="85" t="s">
        <v>88</v>
      </c>
      <c r="C35" s="86"/>
      <c r="D35" s="86"/>
      <c r="E35" s="86"/>
      <c r="F35" s="87"/>
      <c r="G35" s="21">
        <f>G33-G34</f>
        <v>-57351.020566666732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85" t="s">
        <v>184</v>
      </c>
      <c r="C38" s="86"/>
      <c r="D38" s="86"/>
      <c r="E38" s="86"/>
      <c r="F38" s="86"/>
      <c r="G38" s="86"/>
      <c r="H38" s="87"/>
      <c r="I38" s="2"/>
    </row>
    <row r="39" spans="1:9" x14ac:dyDescent="0.25">
      <c r="A39" s="2"/>
      <c r="B39" s="75" t="s">
        <v>146</v>
      </c>
      <c r="C39" s="76"/>
      <c r="D39" s="76"/>
      <c r="E39" s="76"/>
      <c r="F39" s="77"/>
      <c r="G39" s="12">
        <v>0</v>
      </c>
      <c r="H39" s="23" t="s">
        <v>4</v>
      </c>
      <c r="I39" s="2"/>
    </row>
    <row r="40" spans="1:9" x14ac:dyDescent="0.25">
      <c r="A40" s="2"/>
      <c r="B40" s="75" t="s">
        <v>79</v>
      </c>
      <c r="C40" s="76"/>
      <c r="D40" s="76"/>
      <c r="E40" s="76"/>
      <c r="F40" s="77"/>
      <c r="G40" s="12">
        <v>2355000</v>
      </c>
      <c r="H40" s="23" t="s">
        <v>4</v>
      </c>
      <c r="I40" s="2"/>
    </row>
    <row r="41" spans="1:9" x14ac:dyDescent="0.25">
      <c r="A41" s="2"/>
      <c r="B41" s="85" t="s">
        <v>184</v>
      </c>
      <c r="C41" s="86"/>
      <c r="D41" s="86"/>
      <c r="E41" s="86"/>
      <c r="F41" s="87"/>
      <c r="G41" s="21">
        <f>G39-G40</f>
        <v>-2355000</v>
      </c>
      <c r="H41" s="22" t="s">
        <v>4</v>
      </c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5">
    <mergeCell ref="B38:H38"/>
    <mergeCell ref="B39:F39"/>
    <mergeCell ref="B40:F40"/>
    <mergeCell ref="B41:F41"/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3" t="s">
        <v>91</v>
      </c>
      <c r="C3" s="93"/>
      <c r="D3" s="93"/>
      <c r="E3" s="93"/>
      <c r="F3" s="93"/>
      <c r="G3" s="93"/>
      <c r="H3" s="93"/>
      <c r="I3" s="2"/>
    </row>
    <row r="4" spans="1:9" ht="15" customHeight="1" x14ac:dyDescent="0.25">
      <c r="A4" s="2"/>
      <c r="B4" s="93"/>
      <c r="C4" s="93"/>
      <c r="D4" s="93"/>
      <c r="E4" s="93"/>
      <c r="F4" s="93"/>
      <c r="G4" s="93"/>
      <c r="H4" s="9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92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82" t="s">
        <v>93</v>
      </c>
      <c r="C9" s="83"/>
      <c r="D9" s="83"/>
      <c r="E9" s="83"/>
      <c r="F9" s="84"/>
      <c r="G9" s="18">
        <v>54650757.441327028</v>
      </c>
      <c r="H9" s="28" t="s">
        <v>4</v>
      </c>
      <c r="I9" s="2"/>
    </row>
    <row r="10" spans="1:9" x14ac:dyDescent="0.25">
      <c r="A10" s="2"/>
      <c r="B10" s="85" t="s">
        <v>94</v>
      </c>
      <c r="C10" s="86"/>
      <c r="D10" s="86"/>
      <c r="E10" s="86"/>
      <c r="F10" s="86"/>
      <c r="G10" s="86"/>
      <c r="H10" s="87"/>
      <c r="I10" s="2"/>
    </row>
    <row r="11" spans="1:9" x14ac:dyDescent="0.25">
      <c r="A11" s="2"/>
      <c r="B11" s="75" t="s">
        <v>19</v>
      </c>
      <c r="C11" s="76"/>
      <c r="D11" s="77"/>
      <c r="E11" s="12">
        <v>21920731</v>
      </c>
      <c r="F11" s="23" t="s">
        <v>4</v>
      </c>
      <c r="G11" s="20"/>
      <c r="H11" s="31"/>
      <c r="I11" s="2"/>
    </row>
    <row r="12" spans="1:9" x14ac:dyDescent="0.25">
      <c r="A12" s="2"/>
      <c r="B12" s="75" t="s">
        <v>95</v>
      </c>
      <c r="C12" s="76"/>
      <c r="D12" s="77"/>
      <c r="E12" s="12">
        <v>3685932</v>
      </c>
      <c r="F12" s="23" t="s">
        <v>4</v>
      </c>
      <c r="G12" s="15"/>
      <c r="H12" s="32"/>
      <c r="I12" s="2"/>
    </row>
    <row r="13" spans="1:9" x14ac:dyDescent="0.25">
      <c r="A13" s="2"/>
      <c r="B13" s="75" t="s">
        <v>96</v>
      </c>
      <c r="C13" s="76"/>
      <c r="D13" s="77"/>
      <c r="E13" s="12">
        <v>-1126461</v>
      </c>
      <c r="F13" s="23" t="s">
        <v>4</v>
      </c>
      <c r="G13" s="15"/>
      <c r="H13" s="32"/>
      <c r="I13" s="2"/>
    </row>
    <row r="14" spans="1:9" x14ac:dyDescent="0.25">
      <c r="A14" s="2"/>
      <c r="B14" s="75" t="s">
        <v>97</v>
      </c>
      <c r="C14" s="76"/>
      <c r="D14" s="77"/>
      <c r="E14" s="12">
        <v>1092893</v>
      </c>
      <c r="F14" s="23" t="s">
        <v>4</v>
      </c>
      <c r="G14" s="15"/>
      <c r="H14" s="32"/>
      <c r="I14" s="2"/>
    </row>
    <row r="15" spans="1:9" x14ac:dyDescent="0.25">
      <c r="A15" s="2"/>
      <c r="B15" s="82" t="s">
        <v>20</v>
      </c>
      <c r="C15" s="83"/>
      <c r="D15" s="84"/>
      <c r="E15" s="18">
        <f>SUM(E11:E14)</f>
        <v>25573095</v>
      </c>
      <c r="F15" s="28" t="s">
        <v>4</v>
      </c>
      <c r="G15" s="15"/>
      <c r="H15" s="32"/>
      <c r="I15" s="2"/>
    </row>
    <row r="16" spans="1:9" x14ac:dyDescent="0.25">
      <c r="A16" s="2"/>
      <c r="B16" s="75" t="s">
        <v>21</v>
      </c>
      <c r="C16" s="76"/>
      <c r="D16" s="77"/>
      <c r="E16" s="12">
        <v>371217</v>
      </c>
      <c r="F16" s="23" t="s">
        <v>4</v>
      </c>
      <c r="G16" s="15"/>
      <c r="H16" s="32"/>
      <c r="I16" s="2"/>
    </row>
    <row r="17" spans="1:9" x14ac:dyDescent="0.25">
      <c r="A17" s="2"/>
      <c r="B17" s="75" t="s">
        <v>22</v>
      </c>
      <c r="C17" s="76"/>
      <c r="D17" s="77"/>
      <c r="E17" s="12">
        <v>0</v>
      </c>
      <c r="F17" s="23" t="s">
        <v>4</v>
      </c>
      <c r="G17" s="15"/>
      <c r="H17" s="32"/>
      <c r="I17" s="2"/>
    </row>
    <row r="18" spans="1:9" x14ac:dyDescent="0.25">
      <c r="A18" s="2"/>
      <c r="B18" s="75" t="s">
        <v>23</v>
      </c>
      <c r="C18" s="76"/>
      <c r="D18" s="77"/>
      <c r="E18" s="12">
        <v>0</v>
      </c>
      <c r="F18" s="23" t="s">
        <v>4</v>
      </c>
      <c r="G18" s="15"/>
      <c r="H18" s="32"/>
      <c r="I18" s="2"/>
    </row>
    <row r="19" spans="1:9" x14ac:dyDescent="0.25">
      <c r="A19" s="2"/>
      <c r="B19" s="82" t="s">
        <v>24</v>
      </c>
      <c r="C19" s="83"/>
      <c r="D19" s="84"/>
      <c r="E19" s="18">
        <f>SUM(E16:E18)</f>
        <v>371217</v>
      </c>
      <c r="F19" s="28" t="s">
        <v>4</v>
      </c>
      <c r="G19" s="15"/>
      <c r="H19" s="32"/>
      <c r="I19" s="2"/>
    </row>
    <row r="20" spans="1:9" ht="29.25" customHeight="1" x14ac:dyDescent="0.25">
      <c r="A20" s="2"/>
      <c r="B20" s="72" t="s">
        <v>25</v>
      </c>
      <c r="C20" s="73"/>
      <c r="D20" s="74"/>
      <c r="E20" s="12">
        <v>-2728015</v>
      </c>
      <c r="F20" s="23" t="s">
        <v>4</v>
      </c>
      <c r="G20" s="15"/>
      <c r="H20" s="32"/>
      <c r="I20" s="2"/>
    </row>
    <row r="21" spans="1:9" ht="30.75" customHeight="1" x14ac:dyDescent="0.25">
      <c r="A21" s="2"/>
      <c r="B21" s="72" t="s">
        <v>26</v>
      </c>
      <c r="C21" s="73"/>
      <c r="D21" s="74"/>
      <c r="E21" s="12">
        <v>-23129650</v>
      </c>
      <c r="F21" s="23" t="s">
        <v>4</v>
      </c>
      <c r="G21" s="15"/>
      <c r="H21" s="32"/>
      <c r="I21" s="2"/>
    </row>
    <row r="22" spans="1:9" x14ac:dyDescent="0.25">
      <c r="A22" s="2"/>
      <c r="B22" s="75" t="s">
        <v>27</v>
      </c>
      <c r="C22" s="76"/>
      <c r="D22" s="77"/>
      <c r="E22" s="12">
        <v>0</v>
      </c>
      <c r="F22" s="23" t="s">
        <v>4</v>
      </c>
      <c r="G22" s="15"/>
      <c r="H22" s="32"/>
      <c r="I22" s="2"/>
    </row>
    <row r="23" spans="1:9" x14ac:dyDescent="0.25">
      <c r="A23" s="2"/>
      <c r="B23" s="75" t="s">
        <v>28</v>
      </c>
      <c r="C23" s="76"/>
      <c r="D23" s="77"/>
      <c r="E23" s="12">
        <v>0</v>
      </c>
      <c r="F23" s="23" t="s">
        <v>4</v>
      </c>
      <c r="G23" s="15"/>
      <c r="H23" s="32"/>
      <c r="I23" s="2"/>
    </row>
    <row r="24" spans="1:9" ht="30" customHeight="1" x14ac:dyDescent="0.25">
      <c r="A24" s="2"/>
      <c r="B24" s="72" t="s">
        <v>29</v>
      </c>
      <c r="C24" s="73"/>
      <c r="D24" s="74"/>
      <c r="E24" s="12">
        <v>0</v>
      </c>
      <c r="F24" s="23" t="s">
        <v>4</v>
      </c>
      <c r="G24" s="15"/>
      <c r="H24" s="32"/>
      <c r="I24" s="2"/>
    </row>
    <row r="25" spans="1:9" ht="30" customHeight="1" x14ac:dyDescent="0.25">
      <c r="A25" s="2"/>
      <c r="B25" s="72" t="s">
        <v>30</v>
      </c>
      <c r="C25" s="73"/>
      <c r="D25" s="74"/>
      <c r="E25" s="12">
        <v>0</v>
      </c>
      <c r="F25" s="23" t="s">
        <v>4</v>
      </c>
      <c r="G25" s="15"/>
      <c r="H25" s="32"/>
      <c r="I25" s="2"/>
    </row>
    <row r="26" spans="1:9" ht="30" customHeight="1" x14ac:dyDescent="0.25">
      <c r="A26" s="2"/>
      <c r="B26" s="72" t="s">
        <v>31</v>
      </c>
      <c r="C26" s="73"/>
      <c r="D26" s="74"/>
      <c r="E26" s="12">
        <v>-86647</v>
      </c>
      <c r="F26" s="23" t="s">
        <v>4</v>
      </c>
      <c r="G26" s="15"/>
      <c r="H26" s="32"/>
      <c r="I26" s="2"/>
    </row>
    <row r="27" spans="1:9" x14ac:dyDescent="0.25">
      <c r="A27" s="2"/>
      <c r="B27" s="82" t="s">
        <v>32</v>
      </c>
      <c r="C27" s="83"/>
      <c r="D27" s="84"/>
      <c r="E27" s="18">
        <f>SUM(E20:E26)</f>
        <v>-25944312</v>
      </c>
      <c r="F27" s="28" t="s">
        <v>4</v>
      </c>
      <c r="G27" s="16"/>
      <c r="H27" s="33"/>
      <c r="I27" s="2"/>
    </row>
    <row r="28" spans="1:9" x14ac:dyDescent="0.25">
      <c r="A28" s="2"/>
      <c r="B28" s="82" t="s">
        <v>33</v>
      </c>
      <c r="C28" s="83"/>
      <c r="D28" s="84"/>
      <c r="E28" s="18">
        <f>E15+E19+E27</f>
        <v>0</v>
      </c>
      <c r="F28" s="28" t="s">
        <v>4</v>
      </c>
      <c r="G28" s="1">
        <f>IF(E28&lt;0,0,-E28)</f>
        <v>0</v>
      </c>
      <c r="H28" s="28" t="s">
        <v>4</v>
      </c>
      <c r="I28" s="2"/>
    </row>
    <row r="29" spans="1:9" x14ac:dyDescent="0.25">
      <c r="A29" s="2"/>
      <c r="B29" s="85" t="s">
        <v>98</v>
      </c>
      <c r="C29" s="86"/>
      <c r="D29" s="86"/>
      <c r="E29" s="86"/>
      <c r="F29" s="86"/>
      <c r="G29" s="86"/>
      <c r="H29" s="87"/>
      <c r="I29" s="2"/>
    </row>
    <row r="30" spans="1:9" x14ac:dyDescent="0.25">
      <c r="A30" s="2"/>
      <c r="B30" s="82" t="s">
        <v>98</v>
      </c>
      <c r="C30" s="83"/>
      <c r="D30" s="84"/>
      <c r="E30" s="18">
        <v>1255000.441327028</v>
      </c>
      <c r="F30" s="28" t="s">
        <v>4</v>
      </c>
      <c r="G30" s="18">
        <f>-$E$30</f>
        <v>-1255000.441327028</v>
      </c>
      <c r="H30" s="28" t="s">
        <v>4</v>
      </c>
      <c r="I30" s="2"/>
    </row>
    <row r="31" spans="1:9" x14ac:dyDescent="0.25">
      <c r="A31" s="2"/>
      <c r="B31" s="101" t="s">
        <v>57</v>
      </c>
      <c r="C31" s="86"/>
      <c r="D31" s="86"/>
      <c r="E31" s="86"/>
      <c r="F31" s="86"/>
      <c r="G31" s="86"/>
      <c r="H31" s="87"/>
      <c r="I31" s="2"/>
    </row>
    <row r="32" spans="1:9" ht="30" customHeight="1" x14ac:dyDescent="0.25">
      <c r="A32" s="2"/>
      <c r="B32" s="72" t="s">
        <v>58</v>
      </c>
      <c r="C32" s="73"/>
      <c r="D32" s="74"/>
      <c r="E32" s="12">
        <v>52730757</v>
      </c>
      <c r="F32" s="23" t="s">
        <v>4</v>
      </c>
      <c r="G32" s="20"/>
      <c r="H32" s="31"/>
      <c r="I32" s="2"/>
    </row>
    <row r="33" spans="1:9" x14ac:dyDescent="0.25">
      <c r="A33" s="2"/>
      <c r="B33" s="75" t="s">
        <v>34</v>
      </c>
      <c r="C33" s="76"/>
      <c r="D33" s="77"/>
      <c r="E33" s="12">
        <v>0</v>
      </c>
      <c r="F33" s="23" t="s">
        <v>4</v>
      </c>
      <c r="G33" s="15"/>
      <c r="H33" s="32"/>
      <c r="I33" s="2"/>
    </row>
    <row r="34" spans="1:9" ht="43.5" customHeight="1" x14ac:dyDescent="0.25">
      <c r="A34" s="2"/>
      <c r="B34" s="72" t="s">
        <v>35</v>
      </c>
      <c r="C34" s="73"/>
      <c r="D34" s="74"/>
      <c r="E34" s="12">
        <v>665000</v>
      </c>
      <c r="F34" s="23" t="s">
        <v>4</v>
      </c>
      <c r="G34" s="16"/>
      <c r="H34" s="33"/>
      <c r="I34" s="2"/>
    </row>
    <row r="35" spans="1:9" x14ac:dyDescent="0.25">
      <c r="A35" s="2"/>
      <c r="B35" s="82" t="s">
        <v>36</v>
      </c>
      <c r="C35" s="83"/>
      <c r="D35" s="84"/>
      <c r="E35" s="18">
        <f>SUM(E32:E34)</f>
        <v>53395757</v>
      </c>
      <c r="F35" s="28" t="s">
        <v>4</v>
      </c>
      <c r="G35" s="18">
        <f>-E35</f>
        <v>-53395757</v>
      </c>
      <c r="H35" s="28" t="s">
        <v>4</v>
      </c>
      <c r="I35" s="2"/>
    </row>
    <row r="36" spans="1:9" x14ac:dyDescent="0.25">
      <c r="A36" s="2"/>
      <c r="B36" s="85" t="s">
        <v>99</v>
      </c>
      <c r="C36" s="86"/>
      <c r="D36" s="86"/>
      <c r="E36" s="86"/>
      <c r="F36" s="87"/>
      <c r="G36" s="21">
        <f>$G$9+$G$28+$G$30+$G$35</f>
        <v>0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1" t="s">
        <v>128</v>
      </c>
      <c r="C3" s="71"/>
      <c r="D3" s="71"/>
      <c r="E3" s="71"/>
      <c r="F3" s="71"/>
      <c r="G3" s="71"/>
      <c r="H3" s="2"/>
    </row>
    <row r="4" spans="1:8" ht="15" customHeight="1" x14ac:dyDescent="0.25">
      <c r="A4" s="2"/>
      <c r="B4" s="71"/>
      <c r="C4" s="71"/>
      <c r="D4" s="71"/>
      <c r="E4" s="71"/>
      <c r="F4" s="71"/>
      <c r="G4" s="7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176</v>
      </c>
      <c r="C8" s="86"/>
      <c r="D8" s="86"/>
      <c r="E8" s="86"/>
      <c r="F8" s="86"/>
      <c r="G8" s="87"/>
      <c r="H8" s="2"/>
    </row>
    <row r="9" spans="1:8" ht="29.25" customHeight="1" x14ac:dyDescent="0.25">
      <c r="A9" s="2"/>
      <c r="B9" s="78" t="s">
        <v>118</v>
      </c>
      <c r="C9" s="80"/>
      <c r="D9" s="100" t="s">
        <v>47</v>
      </c>
      <c r="E9" s="100"/>
      <c r="F9" s="100" t="s">
        <v>129</v>
      </c>
      <c r="G9" s="100"/>
      <c r="H9" s="2"/>
    </row>
    <row r="10" spans="1:8" x14ac:dyDescent="0.25">
      <c r="A10" s="2"/>
      <c r="B10" s="105" t="s">
        <v>177</v>
      </c>
      <c r="C10" s="106"/>
      <c r="D10" s="107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5" t="s">
        <v>135</v>
      </c>
      <c r="C11" s="86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85" t="s">
        <v>148</v>
      </c>
      <c r="C12" s="87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5" t="s">
        <v>172</v>
      </c>
      <c r="C15" s="86"/>
      <c r="D15" s="86"/>
      <c r="E15" s="86"/>
      <c r="F15" s="86"/>
      <c r="G15" s="87"/>
      <c r="H15" s="2"/>
    </row>
    <row r="16" spans="1:8" ht="15" customHeight="1" x14ac:dyDescent="0.25">
      <c r="A16" s="2"/>
      <c r="B16" s="78" t="s">
        <v>190</v>
      </c>
      <c r="C16" s="79"/>
      <c r="D16" s="79"/>
      <c r="E16" s="80"/>
      <c r="F16" s="100" t="s">
        <v>173</v>
      </c>
      <c r="G16" s="100"/>
      <c r="H16" s="2"/>
    </row>
    <row r="17" spans="1:8" x14ac:dyDescent="0.25">
      <c r="A17" s="2"/>
      <c r="B17" s="75" t="s">
        <v>186</v>
      </c>
      <c r="C17" s="76"/>
      <c r="D17" s="76"/>
      <c r="E17" s="77"/>
      <c r="F17" s="12">
        <v>0</v>
      </c>
      <c r="G17" s="23" t="s">
        <v>4</v>
      </c>
      <c r="H17" s="2"/>
    </row>
    <row r="18" spans="1:8" x14ac:dyDescent="0.25">
      <c r="A18" s="2"/>
      <c r="B18" s="85" t="s">
        <v>174</v>
      </c>
      <c r="C18" s="86"/>
      <c r="D18" s="86"/>
      <c r="E18" s="87"/>
      <c r="F18" s="21">
        <f>SUM(F17:F17)</f>
        <v>0</v>
      </c>
      <c r="G18" s="22" t="s">
        <v>4</v>
      </c>
      <c r="H18" s="2"/>
    </row>
    <row r="19" spans="1:8" x14ac:dyDescent="0.25">
      <c r="A19" s="2"/>
      <c r="B19" s="85" t="s">
        <v>175</v>
      </c>
      <c r="C19" s="86"/>
      <c r="D19" s="86"/>
      <c r="E19" s="87"/>
      <c r="F19" s="21">
        <f>F18*(1+'Fane 2.1. Økonomisk ramme 2018'!E19/100)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3" t="s">
        <v>120</v>
      </c>
      <c r="C3" s="93"/>
      <c r="D3" s="93"/>
      <c r="E3" s="93"/>
      <c r="F3" s="93"/>
      <c r="G3" s="93"/>
      <c r="H3" s="2"/>
    </row>
    <row r="4" spans="1:8" ht="25.5" customHeight="1" x14ac:dyDescent="0.25">
      <c r="A4" s="2"/>
      <c r="B4" s="93"/>
      <c r="C4" s="93"/>
      <c r="D4" s="93"/>
      <c r="E4" s="93"/>
      <c r="F4" s="93"/>
      <c r="G4" s="9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119</v>
      </c>
      <c r="C8" s="86"/>
      <c r="D8" s="86"/>
      <c r="E8" s="86"/>
      <c r="F8" s="86"/>
      <c r="G8" s="87"/>
      <c r="H8" s="2"/>
    </row>
    <row r="9" spans="1:8" ht="29.25" customHeight="1" x14ac:dyDescent="0.25">
      <c r="A9" s="2"/>
      <c r="B9" s="34" t="s">
        <v>121</v>
      </c>
      <c r="C9" s="35"/>
      <c r="D9" s="100" t="s">
        <v>47</v>
      </c>
      <c r="E9" s="100"/>
      <c r="F9" s="100" t="s">
        <v>129</v>
      </c>
      <c r="G9" s="100"/>
      <c r="H9" s="2"/>
    </row>
    <row r="10" spans="1:8" x14ac:dyDescent="0.25">
      <c r="A10" s="2"/>
      <c r="B10" s="108" t="s">
        <v>185</v>
      </c>
      <c r="C10" s="109"/>
      <c r="D10" s="12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5" t="s">
        <v>130</v>
      </c>
      <c r="C11" s="87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85" t="s">
        <v>147</v>
      </c>
      <c r="C12" s="87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0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111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56</v>
      </c>
      <c r="C8" s="86"/>
      <c r="D8" s="86"/>
      <c r="E8" s="86"/>
      <c r="F8" s="86"/>
      <c r="G8" s="86"/>
      <c r="H8" s="87"/>
      <c r="I8" s="2"/>
    </row>
    <row r="9" spans="1:9" ht="15" customHeight="1" x14ac:dyDescent="0.25">
      <c r="A9" s="2"/>
      <c r="B9" s="72" t="s">
        <v>60</v>
      </c>
      <c r="C9" s="73"/>
      <c r="D9" s="74"/>
      <c r="E9" s="8">
        <f>'Fane 3. Korrigeret grundlag'!G12</f>
        <v>52071422.903891958</v>
      </c>
      <c r="F9" s="9" t="s">
        <v>4</v>
      </c>
      <c r="G9" s="10"/>
      <c r="H9" s="11"/>
      <c r="I9" s="2"/>
    </row>
    <row r="10" spans="1:9" x14ac:dyDescent="0.25">
      <c r="A10" s="2"/>
      <c r="B10" s="81" t="s">
        <v>46</v>
      </c>
      <c r="C10" s="76"/>
      <c r="D10" s="77"/>
      <c r="E10" s="12">
        <f>'Fane 3. Korrigeret grundlag'!G11</f>
        <v>16850440.010561816</v>
      </c>
      <c r="F10" s="9" t="s">
        <v>4</v>
      </c>
      <c r="G10" s="13"/>
      <c r="H10" s="14"/>
      <c r="I10" s="2"/>
    </row>
    <row r="11" spans="1:9" x14ac:dyDescent="0.25">
      <c r="A11" s="2"/>
      <c r="B11" s="81" t="s">
        <v>123</v>
      </c>
      <c r="C11" s="76"/>
      <c r="D11" s="77"/>
      <c r="E11" s="12">
        <f>'Fane 4. Ikke-påvirkelige omk.'!G20</f>
        <v>1516346.4421380011</v>
      </c>
      <c r="F11" s="9" t="s">
        <v>4</v>
      </c>
      <c r="G11" s="13"/>
      <c r="H11" s="14"/>
      <c r="I11" s="2"/>
    </row>
    <row r="12" spans="1:9" x14ac:dyDescent="0.25">
      <c r="A12" s="2"/>
      <c r="B12" s="37" t="s">
        <v>188</v>
      </c>
      <c r="C12" s="38"/>
      <c r="D12" s="39"/>
      <c r="E12" s="12">
        <f>'Fane 5. Individuelt eff.krav'!G10</f>
        <v>-1083645.4089323541</v>
      </c>
      <c r="F12" s="9" t="s">
        <v>4</v>
      </c>
      <c r="G12" s="13"/>
      <c r="H12" s="14"/>
      <c r="I12" s="2"/>
    </row>
    <row r="13" spans="1:9" x14ac:dyDescent="0.25">
      <c r="A13" s="2"/>
      <c r="B13" s="81" t="s">
        <v>168</v>
      </c>
      <c r="C13" s="88"/>
      <c r="D13" s="89"/>
      <c r="E13" s="12">
        <f>'Fane 3. Korrigeret grundlag'!G22</f>
        <v>216810</v>
      </c>
      <c r="F13" s="9" t="s">
        <v>4</v>
      </c>
      <c r="G13" s="13"/>
      <c r="H13" s="14"/>
      <c r="I13" s="2"/>
    </row>
    <row r="14" spans="1:9" x14ac:dyDescent="0.25">
      <c r="A14" s="2"/>
      <c r="B14" s="72" t="s">
        <v>131</v>
      </c>
      <c r="C14" s="73"/>
      <c r="D14" s="74"/>
      <c r="E14" s="12">
        <f>'Fane 11. Tillæg'!$D$12</f>
        <v>0</v>
      </c>
      <c r="F14" s="9" t="s">
        <v>4</v>
      </c>
      <c r="G14" s="13"/>
      <c r="H14" s="14"/>
      <c r="I14" s="2"/>
    </row>
    <row r="15" spans="1:9" x14ac:dyDescent="0.25">
      <c r="A15" s="2"/>
      <c r="B15" s="72" t="s">
        <v>132</v>
      </c>
      <c r="C15" s="73"/>
      <c r="D15" s="74"/>
      <c r="E15" s="12">
        <f>'Fane 11. Tillæg'!$F$12</f>
        <v>0</v>
      </c>
      <c r="F15" s="9" t="s">
        <v>4</v>
      </c>
      <c r="G15" s="13"/>
      <c r="H15" s="14"/>
      <c r="I15" s="2"/>
    </row>
    <row r="16" spans="1:9" x14ac:dyDescent="0.25">
      <c r="A16" s="2"/>
      <c r="B16" s="72" t="s">
        <v>172</v>
      </c>
      <c r="C16" s="73"/>
      <c r="D16" s="74"/>
      <c r="E16" s="12">
        <f>'Fane 11. Tillæg'!F19</f>
        <v>0</v>
      </c>
      <c r="F16" s="9" t="s">
        <v>4</v>
      </c>
      <c r="G16" s="13"/>
      <c r="H16" s="14"/>
      <c r="I16" s="2"/>
    </row>
    <row r="17" spans="1:9" x14ac:dyDescent="0.25">
      <c r="A17" s="2"/>
      <c r="B17" s="72" t="s">
        <v>133</v>
      </c>
      <c r="C17" s="73"/>
      <c r="D17" s="74"/>
      <c r="E17" s="12">
        <f>'Fane 12. Bortfald'!$D$12</f>
        <v>0</v>
      </c>
      <c r="F17" s="9" t="s">
        <v>4</v>
      </c>
      <c r="G17" s="13"/>
      <c r="H17" s="14"/>
      <c r="I17" s="2"/>
    </row>
    <row r="18" spans="1:9" x14ac:dyDescent="0.25">
      <c r="A18" s="2"/>
      <c r="B18" s="72" t="s">
        <v>134</v>
      </c>
      <c r="C18" s="73"/>
      <c r="D18" s="74"/>
      <c r="E18" s="12">
        <f>'Fane 12. Bortfald'!$F$12</f>
        <v>0</v>
      </c>
      <c r="F18" s="9" t="s">
        <v>4</v>
      </c>
      <c r="G18" s="13"/>
      <c r="H18" s="14"/>
      <c r="I18" s="2"/>
    </row>
    <row r="19" spans="1:9" x14ac:dyDescent="0.25">
      <c r="A19" s="2"/>
      <c r="B19" s="37" t="s">
        <v>126</v>
      </c>
      <c r="C19" s="38"/>
      <c r="D19" s="39"/>
      <c r="E19" s="26">
        <v>1.75</v>
      </c>
      <c r="F19" s="9" t="s">
        <v>38</v>
      </c>
      <c r="G19" s="13"/>
      <c r="H19" s="14"/>
      <c r="I19" s="2"/>
    </row>
    <row r="20" spans="1:9" x14ac:dyDescent="0.25">
      <c r="A20" s="2"/>
      <c r="B20" s="81" t="s">
        <v>125</v>
      </c>
      <c r="C20" s="76"/>
      <c r="D20" s="77"/>
      <c r="E20" s="12">
        <f>SUM(E9,E11:E18)*(E19/100)</f>
        <v>922616.34389920824</v>
      </c>
      <c r="F20" s="9" t="s">
        <v>4</v>
      </c>
      <c r="G20" s="13"/>
      <c r="H20" s="14"/>
      <c r="I20" s="2"/>
    </row>
    <row r="21" spans="1:9" x14ac:dyDescent="0.25">
      <c r="A21" s="2"/>
      <c r="B21" s="75" t="s">
        <v>15</v>
      </c>
      <c r="C21" s="76"/>
      <c r="D21" s="77"/>
      <c r="E21" s="12">
        <f>'Fane 5. Individuelt eff.krav'!G12</f>
        <v>699106.90130749508</v>
      </c>
      <c r="F21" s="9" t="s">
        <v>4</v>
      </c>
      <c r="G21" s="15"/>
      <c r="H21" s="14"/>
      <c r="I21" s="2"/>
    </row>
    <row r="22" spans="1:9" x14ac:dyDescent="0.25">
      <c r="A22" s="2"/>
      <c r="B22" s="75" t="s">
        <v>16</v>
      </c>
      <c r="C22" s="76"/>
      <c r="D22" s="77"/>
      <c r="E22" s="12">
        <f>'Fane 6. Generelt eff.krav'!G17</f>
        <v>644808.2051981301</v>
      </c>
      <c r="F22" s="9" t="s">
        <v>4</v>
      </c>
      <c r="G22" s="16"/>
      <c r="H22" s="17"/>
      <c r="I22" s="2"/>
    </row>
    <row r="23" spans="1:9" x14ac:dyDescent="0.25">
      <c r="A23" s="2"/>
      <c r="B23" s="82" t="s">
        <v>178</v>
      </c>
      <c r="C23" s="83"/>
      <c r="D23" s="84"/>
      <c r="E23" s="18">
        <f>SUM(E9,E11:E18,E20)-SUM(E21:E22)</f>
        <v>52299635.174491189</v>
      </c>
      <c r="F23" s="19" t="s">
        <v>4</v>
      </c>
      <c r="G23" s="18">
        <f>E23</f>
        <v>52299635.174491189</v>
      </c>
      <c r="H23" s="19" t="s">
        <v>4</v>
      </c>
      <c r="I23" s="2"/>
    </row>
    <row r="24" spans="1:9" x14ac:dyDescent="0.25">
      <c r="A24" s="2"/>
      <c r="B24" s="85" t="s">
        <v>17</v>
      </c>
      <c r="C24" s="86"/>
      <c r="D24" s="86"/>
      <c r="E24" s="86"/>
      <c r="F24" s="86"/>
      <c r="G24" s="86"/>
      <c r="H24" s="87"/>
      <c r="I24" s="2"/>
    </row>
    <row r="25" spans="1:9" x14ac:dyDescent="0.25">
      <c r="A25" s="2"/>
      <c r="B25" s="78" t="s">
        <v>55</v>
      </c>
      <c r="C25" s="79"/>
      <c r="D25" s="80"/>
      <c r="E25" s="18">
        <f>'Fane 7. Hist. over el. underdæk'!G13</f>
        <v>0</v>
      </c>
      <c r="F25" s="19" t="s">
        <v>4</v>
      </c>
      <c r="G25" s="18">
        <f>E25</f>
        <v>0</v>
      </c>
      <c r="H25" s="19" t="s">
        <v>4</v>
      </c>
      <c r="I25" s="2"/>
    </row>
    <row r="26" spans="1:9" x14ac:dyDescent="0.25">
      <c r="A26" s="2"/>
      <c r="B26" s="85" t="s">
        <v>100</v>
      </c>
      <c r="C26" s="86"/>
      <c r="D26" s="86"/>
      <c r="E26" s="86"/>
      <c r="F26" s="86"/>
      <c r="G26" s="86"/>
      <c r="H26" s="87"/>
      <c r="I26" s="2"/>
    </row>
    <row r="27" spans="1:9" x14ac:dyDescent="0.25">
      <c r="A27" s="2"/>
      <c r="B27" s="72" t="s">
        <v>107</v>
      </c>
      <c r="C27" s="73"/>
      <c r="D27" s="74"/>
      <c r="E27" s="12">
        <f>'Fane 9. Korrektion af PL2016'!G11</f>
        <v>4575953</v>
      </c>
      <c r="F27" s="9" t="s">
        <v>4</v>
      </c>
      <c r="G27" s="20"/>
      <c r="H27" s="11"/>
      <c r="I27" s="2"/>
    </row>
    <row r="28" spans="1:9" x14ac:dyDescent="0.25">
      <c r="A28" s="2"/>
      <c r="B28" s="72" t="s">
        <v>101</v>
      </c>
      <c r="C28" s="73"/>
      <c r="D28" s="74"/>
      <c r="E28" s="12">
        <f>'Fane 9. Korrektion af PL2016'!G17</f>
        <v>865455</v>
      </c>
      <c r="F28" s="9" t="s">
        <v>4</v>
      </c>
      <c r="G28" s="15"/>
      <c r="H28" s="14"/>
      <c r="I28" s="2"/>
    </row>
    <row r="29" spans="1:9" ht="30" customHeight="1" x14ac:dyDescent="0.25">
      <c r="A29" s="2"/>
      <c r="B29" s="72" t="s">
        <v>102</v>
      </c>
      <c r="C29" s="73"/>
      <c r="D29" s="74"/>
      <c r="E29" s="12">
        <f>'Fane 9. Korrektion af PL2016'!G23</f>
        <v>-888450</v>
      </c>
      <c r="F29" s="9" t="s">
        <v>4</v>
      </c>
      <c r="G29" s="13"/>
      <c r="H29" s="14"/>
      <c r="I29" s="2"/>
    </row>
    <row r="30" spans="1:9" ht="30" customHeight="1" x14ac:dyDescent="0.25">
      <c r="A30" s="2"/>
      <c r="B30" s="72" t="s">
        <v>103</v>
      </c>
      <c r="C30" s="73"/>
      <c r="D30" s="74"/>
      <c r="E30" s="12">
        <f>'Fane 9. Korrektion af PL2016'!G29</f>
        <v>-320021</v>
      </c>
      <c r="F30" s="9" t="s">
        <v>4</v>
      </c>
      <c r="G30" s="15"/>
      <c r="H30" s="14"/>
      <c r="I30" s="2"/>
    </row>
    <row r="31" spans="1:9" ht="28.5" customHeight="1" x14ac:dyDescent="0.25">
      <c r="A31" s="2"/>
      <c r="B31" s="72" t="s">
        <v>104</v>
      </c>
      <c r="C31" s="73"/>
      <c r="D31" s="74"/>
      <c r="E31" s="12">
        <f>'Fane 9. Korrektion af PL2016'!G35</f>
        <v>-57351.020566666732</v>
      </c>
      <c r="F31" s="9" t="s">
        <v>4</v>
      </c>
      <c r="G31" s="15"/>
      <c r="H31" s="14"/>
      <c r="I31" s="2"/>
    </row>
    <row r="32" spans="1:9" ht="28.5" customHeight="1" x14ac:dyDescent="0.25">
      <c r="A32" s="2"/>
      <c r="B32" s="72" t="s">
        <v>78</v>
      </c>
      <c r="C32" s="73"/>
      <c r="D32" s="74"/>
      <c r="E32" s="12">
        <f>'Fane 9. Korrektion af PL2016'!G41</f>
        <v>-2355000</v>
      </c>
      <c r="F32" s="9" t="s">
        <v>4</v>
      </c>
      <c r="G32" s="16"/>
      <c r="H32" s="17"/>
      <c r="I32" s="2"/>
    </row>
    <row r="33" spans="1:9" x14ac:dyDescent="0.25">
      <c r="A33" s="2"/>
      <c r="B33" s="78" t="s">
        <v>105</v>
      </c>
      <c r="C33" s="79"/>
      <c r="D33" s="80"/>
      <c r="E33" s="18">
        <f>SUM(E27:E32)</f>
        <v>1820585.9794333335</v>
      </c>
      <c r="F33" s="19" t="s">
        <v>4</v>
      </c>
      <c r="G33" s="18">
        <f>E33</f>
        <v>1820585.9794333335</v>
      </c>
      <c r="H33" s="19" t="s">
        <v>4</v>
      </c>
      <c r="I33" s="2"/>
    </row>
    <row r="34" spans="1:9" x14ac:dyDescent="0.25">
      <c r="A34" s="2"/>
      <c r="B34" s="85" t="s">
        <v>18</v>
      </c>
      <c r="C34" s="86"/>
      <c r="D34" s="86"/>
      <c r="E34" s="86"/>
      <c r="F34" s="86"/>
      <c r="G34" s="86"/>
      <c r="H34" s="87"/>
      <c r="I34" s="2"/>
    </row>
    <row r="35" spans="1:9" x14ac:dyDescent="0.25">
      <c r="A35" s="2"/>
      <c r="B35" s="78" t="s">
        <v>106</v>
      </c>
      <c r="C35" s="79"/>
      <c r="D35" s="80"/>
      <c r="E35" s="18">
        <f>'Fane 10. Kontrol af PL2016'!G36</f>
        <v>0</v>
      </c>
      <c r="F35" s="19" t="s">
        <v>4</v>
      </c>
      <c r="G35" s="18">
        <f>E35</f>
        <v>0</v>
      </c>
      <c r="H35" s="19" t="s">
        <v>4</v>
      </c>
      <c r="I35" s="2"/>
    </row>
    <row r="36" spans="1:9" x14ac:dyDescent="0.25">
      <c r="A36" s="2"/>
      <c r="B36" s="85" t="s">
        <v>62</v>
      </c>
      <c r="C36" s="86"/>
      <c r="D36" s="86"/>
      <c r="E36" s="86"/>
      <c r="F36" s="87"/>
      <c r="G36" s="21">
        <f>G23+G25+G33+G35</f>
        <v>54120221.153924525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28">
    <mergeCell ref="B8:H8"/>
    <mergeCell ref="B11:D11"/>
    <mergeCell ref="B33:D33"/>
    <mergeCell ref="B29:D29"/>
    <mergeCell ref="B36:F36"/>
    <mergeCell ref="B20:D20"/>
    <mergeCell ref="B14:D14"/>
    <mergeCell ref="B15:D15"/>
    <mergeCell ref="B17:D17"/>
    <mergeCell ref="B18:D18"/>
    <mergeCell ref="B13:D13"/>
    <mergeCell ref="B16:D16"/>
    <mergeCell ref="B3:H4"/>
    <mergeCell ref="B9:D9"/>
    <mergeCell ref="B21:D21"/>
    <mergeCell ref="B35:D35"/>
    <mergeCell ref="B22:D22"/>
    <mergeCell ref="B10:D10"/>
    <mergeCell ref="B23:D23"/>
    <mergeCell ref="B25:D25"/>
    <mergeCell ref="B28:D28"/>
    <mergeCell ref="B30:D30"/>
    <mergeCell ref="B31:D31"/>
    <mergeCell ref="B34:H34"/>
    <mergeCell ref="B32:D32"/>
    <mergeCell ref="B26:H26"/>
    <mergeCell ref="B24:H24"/>
    <mergeCell ref="B27:D2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2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110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56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72" t="s">
        <v>108</v>
      </c>
      <c r="C9" s="73"/>
      <c r="D9" s="74"/>
      <c r="E9" s="8">
        <f>'Fane 2.1. Økonomisk ramme 2018'!G23-'Fane 2.1. Økonomisk ramme 2018'!E13*(1+0.0175)*(1-0.02-'Fane 5. Individuelt eff.krav'!G11/100)</f>
        <v>52087855.166491188</v>
      </c>
      <c r="F9" s="9" t="s">
        <v>4</v>
      </c>
      <c r="G9" s="10"/>
      <c r="H9" s="11"/>
      <c r="I9" s="2"/>
    </row>
    <row r="10" spans="1:9" x14ac:dyDescent="0.25">
      <c r="A10" s="2"/>
      <c r="B10" s="81" t="s">
        <v>46</v>
      </c>
      <c r="C10" s="88"/>
      <c r="D10" s="89"/>
      <c r="E10" s="12">
        <f>(SUM('Fane 2.1. Økonomisk ramme 2018'!E10:E11,'Fane 2.1. Økonomisk ramme 2018'!E16))*(1+'Fane 2.1. Økonomisk ramme 2018'!E19/100)</f>
        <v>18688205.215622067</v>
      </c>
      <c r="F10" s="9" t="s">
        <v>4</v>
      </c>
      <c r="G10" s="13"/>
      <c r="H10" s="14"/>
      <c r="I10" s="2"/>
    </row>
    <row r="11" spans="1:9" x14ac:dyDescent="0.25">
      <c r="A11" s="2"/>
      <c r="B11" s="37" t="s">
        <v>168</v>
      </c>
      <c r="C11" s="40"/>
      <c r="D11" s="41"/>
      <c r="E11" s="12">
        <v>220604</v>
      </c>
      <c r="F11" s="9" t="s">
        <v>4</v>
      </c>
      <c r="G11" s="13"/>
      <c r="H11" s="14"/>
      <c r="I11" s="2"/>
    </row>
    <row r="12" spans="1:9" x14ac:dyDescent="0.25">
      <c r="A12" s="2"/>
      <c r="B12" s="75" t="s">
        <v>61</v>
      </c>
      <c r="C12" s="76"/>
      <c r="D12" s="77"/>
      <c r="E12" s="12">
        <f>($E$9+E11)*'Fane 2.1. Økonomisk ramme 2018'!E19/100</f>
        <v>915398.03541359573</v>
      </c>
      <c r="F12" s="9" t="s">
        <v>4</v>
      </c>
      <c r="G12" s="15"/>
      <c r="H12" s="14"/>
      <c r="I12" s="2"/>
    </row>
    <row r="13" spans="1:9" x14ac:dyDescent="0.25">
      <c r="A13" s="2"/>
      <c r="B13" s="75" t="s">
        <v>15</v>
      </c>
      <c r="C13" s="76"/>
      <c r="D13" s="77"/>
      <c r="E13" s="12">
        <f>($E$9+E11-$E$10)*(1+'Fane 2.1. Økonomisk ramme 2018'!E19/100)*'Fane 5. Individuelt eff.krav'!$G$11/100</f>
        <v>684172.16790018661</v>
      </c>
      <c r="F13" s="9" t="s">
        <v>4</v>
      </c>
      <c r="G13" s="15"/>
      <c r="H13" s="14"/>
      <c r="I13" s="2"/>
    </row>
    <row r="14" spans="1:9" x14ac:dyDescent="0.25">
      <c r="A14" s="2"/>
      <c r="B14" s="42" t="s">
        <v>16</v>
      </c>
      <c r="C14" s="38"/>
      <c r="D14" s="39"/>
      <c r="E14" s="12">
        <f>(('Fane 6. Generelt eff.krav'!G12/('Fane 6. Generelt eff.krav'!G11/100)-'Fane 6. Generelt eff.krav'!G12)+E11)*(1+'Fane 2.1. Økonomisk ramme 2018'!E19/100)*'Fane 6. Generelt eff.krav'!G11/100+(('Fane 6. Generelt eff.krav'!G16/('Fane 6. Generelt eff.krav'!G15/100))-'Fane 6. Generelt eff.krav'!G16)*(1+'Fane 2.1. Økonomisk ramme 2018'!E19/100)*'Fane 6. Generelt eff.krav'!G15/100</f>
        <v>648689.0769239869</v>
      </c>
      <c r="F14" s="9" t="s">
        <v>4</v>
      </c>
      <c r="G14" s="16"/>
      <c r="H14" s="17"/>
      <c r="I14" s="2"/>
    </row>
    <row r="15" spans="1:9" x14ac:dyDescent="0.25">
      <c r="A15" s="2"/>
      <c r="B15" s="82" t="s">
        <v>178</v>
      </c>
      <c r="C15" s="83"/>
      <c r="D15" s="84"/>
      <c r="E15" s="18">
        <f>$E$9+$E$12-$E$13-$E$14+E11</f>
        <v>51890995.957080603</v>
      </c>
      <c r="F15" s="19" t="s">
        <v>4</v>
      </c>
      <c r="G15" s="18">
        <f>E15</f>
        <v>51890995.957080603</v>
      </c>
      <c r="H15" s="19" t="s">
        <v>4</v>
      </c>
      <c r="I15" s="2"/>
    </row>
    <row r="16" spans="1:9" x14ac:dyDescent="0.25">
      <c r="A16" s="2"/>
      <c r="B16" s="85" t="s">
        <v>17</v>
      </c>
      <c r="C16" s="86"/>
      <c r="D16" s="86"/>
      <c r="E16" s="86"/>
      <c r="F16" s="86"/>
      <c r="G16" s="86"/>
      <c r="H16" s="87"/>
      <c r="I16" s="2"/>
    </row>
    <row r="17" spans="1:9" ht="15" customHeight="1" x14ac:dyDescent="0.25">
      <c r="A17" s="2"/>
      <c r="B17" s="78" t="s">
        <v>55</v>
      </c>
      <c r="C17" s="79"/>
      <c r="D17" s="80"/>
      <c r="E17" s="18">
        <f>IF('Fane 7. Hist. over el. underdæk'!$G$12&gt;1,'Fane 7. Hist. over el. underdæk'!$G$13,0)</f>
        <v>0</v>
      </c>
      <c r="F17" s="19" t="s">
        <v>4</v>
      </c>
      <c r="G17" s="18">
        <f>E17</f>
        <v>0</v>
      </c>
      <c r="H17" s="19" t="s">
        <v>4</v>
      </c>
      <c r="I17" s="2"/>
    </row>
    <row r="18" spans="1:9" x14ac:dyDescent="0.25">
      <c r="A18" s="2"/>
      <c r="B18" s="85" t="s">
        <v>109</v>
      </c>
      <c r="C18" s="86"/>
      <c r="D18" s="86"/>
      <c r="E18" s="86"/>
      <c r="F18" s="87"/>
      <c r="G18" s="21">
        <f>G15+G17</f>
        <v>51890995.957080603</v>
      </c>
      <c r="H18" s="22" t="s">
        <v>4</v>
      </c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</sheetData>
  <sheetProtection password="DFE9" sheet="1" objects="1" scenarios="1"/>
  <mergeCells count="10">
    <mergeCell ref="B18:F18"/>
    <mergeCell ref="B3:H4"/>
    <mergeCell ref="B8:H8"/>
    <mergeCell ref="B9:D9"/>
    <mergeCell ref="B10:D10"/>
    <mergeCell ref="B12:D12"/>
    <mergeCell ref="B13:D13"/>
    <mergeCell ref="B15:D15"/>
    <mergeCell ref="B16:H16"/>
    <mergeCell ref="B17:D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2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3" t="s">
        <v>141</v>
      </c>
      <c r="C3" s="93"/>
      <c r="D3" s="93"/>
      <c r="E3" s="93"/>
      <c r="F3" s="93"/>
      <c r="G3" s="93"/>
      <c r="H3" s="93"/>
      <c r="I3" s="2"/>
    </row>
    <row r="4" spans="1:9" ht="29.25" customHeight="1" x14ac:dyDescent="0.25">
      <c r="A4" s="2"/>
      <c r="B4" s="93"/>
      <c r="C4" s="93"/>
      <c r="D4" s="93"/>
      <c r="E4" s="93"/>
      <c r="F4" s="93"/>
      <c r="G4" s="93"/>
      <c r="H4" s="9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143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75" t="s">
        <v>112</v>
      </c>
      <c r="C9" s="76"/>
      <c r="D9" s="76"/>
      <c r="E9" s="76"/>
      <c r="F9" s="77"/>
      <c r="G9" s="12">
        <v>5786258.8067158498</v>
      </c>
      <c r="H9" s="23" t="s">
        <v>4</v>
      </c>
      <c r="I9" s="2"/>
    </row>
    <row r="10" spans="1:9" x14ac:dyDescent="0.25">
      <c r="A10" s="2"/>
      <c r="B10" s="75" t="s">
        <v>113</v>
      </c>
      <c r="C10" s="76"/>
      <c r="D10" s="76"/>
      <c r="E10" s="76"/>
      <c r="F10" s="77"/>
      <c r="G10" s="12">
        <v>29434724.086614296</v>
      </c>
      <c r="H10" s="23" t="s">
        <v>4</v>
      </c>
      <c r="I10" s="2"/>
    </row>
    <row r="11" spans="1:9" x14ac:dyDescent="0.25">
      <c r="A11" s="2"/>
      <c r="B11" s="75" t="s">
        <v>140</v>
      </c>
      <c r="C11" s="76"/>
      <c r="D11" s="76"/>
      <c r="E11" s="76"/>
      <c r="F11" s="77"/>
      <c r="G11" s="12">
        <v>16850440.010561816</v>
      </c>
      <c r="H11" s="23" t="s">
        <v>4</v>
      </c>
      <c r="I11" s="2"/>
    </row>
    <row r="12" spans="1:9" ht="17.25" customHeight="1" x14ac:dyDescent="0.25">
      <c r="A12" s="2"/>
      <c r="B12" s="90" t="s">
        <v>145</v>
      </c>
      <c r="C12" s="91"/>
      <c r="D12" s="91"/>
      <c r="E12" s="91"/>
      <c r="F12" s="92"/>
      <c r="G12" s="21">
        <f>SUM(G9:G11)</f>
        <v>52071422.903891958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138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139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5"/>
      <c r="C17" s="2"/>
      <c r="D17" s="2"/>
      <c r="E17" s="2"/>
      <c r="F17" s="2"/>
      <c r="G17" s="24"/>
      <c r="H17" s="2"/>
      <c r="I17" s="2"/>
    </row>
    <row r="18" spans="1:9" x14ac:dyDescent="0.25">
      <c r="A18" s="2"/>
      <c r="B18" s="25"/>
      <c r="C18" s="2"/>
      <c r="D18" s="2"/>
      <c r="E18" s="2"/>
      <c r="F18" s="2"/>
      <c r="G18" s="24"/>
      <c r="H18" s="2"/>
      <c r="I18" s="2"/>
    </row>
    <row r="19" spans="1:9" x14ac:dyDescent="0.25">
      <c r="A19" s="2"/>
      <c r="B19" s="85" t="s">
        <v>168</v>
      </c>
      <c r="C19" s="86"/>
      <c r="D19" s="86"/>
      <c r="E19" s="86"/>
      <c r="F19" s="86"/>
      <c r="G19" s="86"/>
      <c r="H19" s="87"/>
      <c r="I19" s="2"/>
    </row>
    <row r="20" spans="1:9" x14ac:dyDescent="0.25">
      <c r="A20" s="2"/>
      <c r="B20" s="75" t="s">
        <v>169</v>
      </c>
      <c r="C20" s="76"/>
      <c r="D20" s="76"/>
      <c r="E20" s="76"/>
      <c r="F20" s="77"/>
      <c r="G20" s="12">
        <v>216810</v>
      </c>
      <c r="H20" s="23" t="s">
        <v>4</v>
      </c>
      <c r="I20" s="2"/>
    </row>
    <row r="21" spans="1:9" x14ac:dyDescent="0.25">
      <c r="A21" s="2"/>
      <c r="B21" s="75" t="s">
        <v>170</v>
      </c>
      <c r="C21" s="76"/>
      <c r="D21" s="76"/>
      <c r="E21" s="76"/>
      <c r="F21" s="77"/>
      <c r="G21" s="12">
        <v>0</v>
      </c>
      <c r="H21" s="23" t="s">
        <v>4</v>
      </c>
      <c r="I21" s="2"/>
    </row>
    <row r="22" spans="1:9" x14ac:dyDescent="0.25">
      <c r="A22" s="2"/>
      <c r="B22" s="90" t="s">
        <v>171</v>
      </c>
      <c r="C22" s="91"/>
      <c r="D22" s="91"/>
      <c r="E22" s="91"/>
      <c r="F22" s="92"/>
      <c r="G22" s="21">
        <f>SUM(G20:G21)</f>
        <v>216810</v>
      </c>
      <c r="H22" s="22" t="s">
        <v>4</v>
      </c>
      <c r="I22" s="2"/>
    </row>
    <row r="23" spans="1:9" x14ac:dyDescent="0.25">
      <c r="A23" s="2"/>
      <c r="B23" s="25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5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5"/>
      <c r="C25" s="2"/>
      <c r="D25" s="2"/>
      <c r="E25" s="2"/>
      <c r="F25" s="2"/>
      <c r="G25" s="24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</sheetData>
  <sheetProtection password="DFE9" sheet="1" objects="1" scenarios="1"/>
  <mergeCells count="10">
    <mergeCell ref="B8:H8"/>
    <mergeCell ref="B3:H4"/>
    <mergeCell ref="B11:F11"/>
    <mergeCell ref="B10:F10"/>
    <mergeCell ref="B9:F9"/>
    <mergeCell ref="B19:H19"/>
    <mergeCell ref="B20:F20"/>
    <mergeCell ref="B21:F21"/>
    <mergeCell ref="B22:F22"/>
    <mergeCell ref="B12:F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114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115</v>
      </c>
      <c r="C8" s="86"/>
      <c r="D8" s="86"/>
      <c r="E8" s="86"/>
      <c r="F8" s="86"/>
      <c r="G8" s="86"/>
      <c r="H8" s="87"/>
      <c r="I8" s="2"/>
    </row>
    <row r="9" spans="1:9" ht="51.75" customHeight="1" x14ac:dyDescent="0.25">
      <c r="A9" s="2"/>
      <c r="B9" s="78" t="s">
        <v>117</v>
      </c>
      <c r="C9" s="79"/>
      <c r="D9" s="80"/>
      <c r="E9" s="19" t="s">
        <v>116</v>
      </c>
      <c r="F9" s="19"/>
      <c r="G9" s="19" t="s">
        <v>142</v>
      </c>
      <c r="H9" s="19"/>
      <c r="I9" s="2"/>
    </row>
    <row r="10" spans="1:9" x14ac:dyDescent="0.25">
      <c r="A10" s="2"/>
      <c r="B10" s="75" t="s">
        <v>159</v>
      </c>
      <c r="C10" s="76"/>
      <c r="D10" s="76"/>
      <c r="E10" s="102">
        <v>0</v>
      </c>
      <c r="F10" s="23" t="s">
        <v>4</v>
      </c>
      <c r="G10" s="12">
        <v>0</v>
      </c>
      <c r="H10" s="23" t="s">
        <v>4</v>
      </c>
      <c r="I10" s="2"/>
    </row>
    <row r="11" spans="1:9" x14ac:dyDescent="0.25">
      <c r="A11" s="2"/>
      <c r="B11" s="75" t="s">
        <v>160</v>
      </c>
      <c r="C11" s="76"/>
      <c r="D11" s="76"/>
      <c r="E11" s="102">
        <v>0</v>
      </c>
      <c r="F11" s="23" t="s">
        <v>4</v>
      </c>
      <c r="G11" s="12">
        <v>3065</v>
      </c>
      <c r="H11" s="23" t="s">
        <v>4</v>
      </c>
      <c r="I11" s="2"/>
    </row>
    <row r="12" spans="1:9" x14ac:dyDescent="0.25">
      <c r="A12" s="2"/>
      <c r="B12" s="75" t="s">
        <v>161</v>
      </c>
      <c r="C12" s="76"/>
      <c r="D12" s="76"/>
      <c r="E12" s="102">
        <v>0</v>
      </c>
      <c r="F12" s="23" t="s">
        <v>4</v>
      </c>
      <c r="G12" s="12">
        <v>4126150</v>
      </c>
      <c r="H12" s="23" t="s">
        <v>4</v>
      </c>
      <c r="I12" s="2"/>
    </row>
    <row r="13" spans="1:9" x14ac:dyDescent="0.25">
      <c r="A13" s="2"/>
      <c r="B13" s="75" t="s">
        <v>162</v>
      </c>
      <c r="C13" s="76"/>
      <c r="D13" s="76"/>
      <c r="E13" s="102">
        <v>32399.4126</v>
      </c>
      <c r="F13" s="23" t="s">
        <v>4</v>
      </c>
      <c r="G13" s="12">
        <v>51254</v>
      </c>
      <c r="H13" s="23" t="s">
        <v>4</v>
      </c>
      <c r="I13" s="2"/>
    </row>
    <row r="14" spans="1:9" x14ac:dyDescent="0.25">
      <c r="A14" s="2"/>
      <c r="B14" s="75" t="s">
        <v>163</v>
      </c>
      <c r="C14" s="76"/>
      <c r="D14" s="76"/>
      <c r="E14" s="102">
        <v>0</v>
      </c>
      <c r="F14" s="23" t="s">
        <v>4</v>
      </c>
      <c r="G14" s="12">
        <v>0</v>
      </c>
      <c r="H14" s="23" t="s">
        <v>4</v>
      </c>
      <c r="I14" s="2"/>
    </row>
    <row r="15" spans="1:9" x14ac:dyDescent="0.25">
      <c r="A15" s="2"/>
      <c r="B15" s="75" t="s">
        <v>164</v>
      </c>
      <c r="C15" s="76"/>
      <c r="D15" s="76"/>
      <c r="E15" s="102">
        <v>0</v>
      </c>
      <c r="F15" s="23" t="s">
        <v>4</v>
      </c>
      <c r="G15" s="12">
        <v>0</v>
      </c>
      <c r="H15" s="23" t="s">
        <v>4</v>
      </c>
      <c r="I15" s="2"/>
    </row>
    <row r="16" spans="1:9" x14ac:dyDescent="0.25">
      <c r="A16" s="2"/>
      <c r="B16" s="75" t="s">
        <v>165</v>
      </c>
      <c r="C16" s="76"/>
      <c r="D16" s="76"/>
      <c r="E16" s="102">
        <v>16287918.8138</v>
      </c>
      <c r="F16" s="23" t="s">
        <v>4</v>
      </c>
      <c r="G16" s="12">
        <v>13948921</v>
      </c>
      <c r="H16" s="23" t="s">
        <v>4</v>
      </c>
      <c r="I16" s="2"/>
    </row>
    <row r="17" spans="1:9" x14ac:dyDescent="0.25">
      <c r="A17" s="2"/>
      <c r="B17" s="75" t="s">
        <v>166</v>
      </c>
      <c r="C17" s="76"/>
      <c r="D17" s="76"/>
      <c r="E17" s="102">
        <v>0</v>
      </c>
      <c r="F17" s="23" t="s">
        <v>4</v>
      </c>
      <c r="G17" s="12">
        <v>0</v>
      </c>
      <c r="H17" s="23" t="s">
        <v>4</v>
      </c>
      <c r="I17" s="2"/>
    </row>
    <row r="18" spans="1:9" ht="30" customHeight="1" x14ac:dyDescent="0.25">
      <c r="A18" s="2"/>
      <c r="B18" s="103" t="s">
        <v>167</v>
      </c>
      <c r="C18" s="103"/>
      <c r="D18" s="103"/>
      <c r="E18" s="102">
        <v>318805</v>
      </c>
      <c r="F18" s="23" t="s">
        <v>4</v>
      </c>
      <c r="G18" s="12">
        <v>0</v>
      </c>
      <c r="H18" s="23" t="s">
        <v>4</v>
      </c>
      <c r="I18" s="2"/>
    </row>
    <row r="19" spans="1:9" x14ac:dyDescent="0.25">
      <c r="A19" s="2"/>
      <c r="B19" s="85" t="s">
        <v>136</v>
      </c>
      <c r="C19" s="86"/>
      <c r="D19" s="86"/>
      <c r="E19" s="86"/>
      <c r="F19" s="87"/>
      <c r="G19" s="21">
        <f>SUM(G10:G18)-SUM(E10:E18)</f>
        <v>1490266.7736000009</v>
      </c>
      <c r="H19" s="22" t="s">
        <v>4</v>
      </c>
      <c r="I19" s="2"/>
    </row>
    <row r="20" spans="1:9" x14ac:dyDescent="0.25">
      <c r="A20" s="2"/>
      <c r="B20" s="85" t="s">
        <v>137</v>
      </c>
      <c r="C20" s="86"/>
      <c r="D20" s="86"/>
      <c r="E20" s="86"/>
      <c r="F20" s="87"/>
      <c r="G20" s="21">
        <f>G19*(1+'Fane 2.1. Økonomisk ramme 2018'!E19/100)</f>
        <v>1516346.4421380011</v>
      </c>
      <c r="H20" s="22" t="s">
        <v>4</v>
      </c>
      <c r="I20" s="2"/>
    </row>
    <row r="21" spans="1:9" x14ac:dyDescent="0.25">
      <c r="A21" s="2"/>
      <c r="B21" s="25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4"/>
      <c r="C22" s="24"/>
      <c r="D22" s="24"/>
      <c r="E22" s="24"/>
      <c r="F22" s="24"/>
      <c r="G22" s="24"/>
      <c r="H22" s="24"/>
      <c r="I22" s="2"/>
    </row>
    <row r="23" spans="1:9" x14ac:dyDescent="0.25">
      <c r="A23" s="2"/>
      <c r="B23" s="2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71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15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75" t="s">
        <v>51</v>
      </c>
      <c r="C9" s="76"/>
      <c r="D9" s="76"/>
      <c r="E9" s="76"/>
      <c r="F9" s="77"/>
      <c r="G9" s="12">
        <f>'Fane 3. Korrigeret grundlag'!G12-'Fane 3. Korrigeret grundlag'!G11+SUM('Fane 2.1. Økonomisk ramme 2018'!E13:E15,'Fane 2.1. Økonomisk ramme 2018'!E17:E18)</f>
        <v>35437792.893330142</v>
      </c>
      <c r="H9" s="23" t="s">
        <v>4</v>
      </c>
      <c r="I9" s="2"/>
    </row>
    <row r="10" spans="1:9" x14ac:dyDescent="0.25">
      <c r="A10" s="2"/>
      <c r="B10" s="42" t="s">
        <v>188</v>
      </c>
      <c r="C10" s="38"/>
      <c r="D10" s="38"/>
      <c r="E10" s="38"/>
      <c r="F10" s="39"/>
      <c r="G10" s="12">
        <v>-1083645.4089323541</v>
      </c>
      <c r="H10" s="23" t="s">
        <v>4</v>
      </c>
      <c r="I10" s="2"/>
    </row>
    <row r="11" spans="1:9" x14ac:dyDescent="0.25">
      <c r="A11" s="2"/>
      <c r="B11" s="75" t="s">
        <v>37</v>
      </c>
      <c r="C11" s="76"/>
      <c r="D11" s="76"/>
      <c r="E11" s="76"/>
      <c r="F11" s="77"/>
      <c r="G11" s="26">
        <v>2</v>
      </c>
      <c r="H11" s="23" t="s">
        <v>38</v>
      </c>
      <c r="I11" s="2"/>
    </row>
    <row r="12" spans="1:9" x14ac:dyDescent="0.25">
      <c r="A12" s="2"/>
      <c r="B12" s="85" t="s">
        <v>15</v>
      </c>
      <c r="C12" s="86"/>
      <c r="D12" s="86"/>
      <c r="E12" s="86"/>
      <c r="F12" s="87"/>
      <c r="G12" s="21">
        <f>($G$9+G10)*(1+'Fane 2.1. Økonomisk ramme 2018'!E19/100)*($G$11/100)</f>
        <v>699106.90130749508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72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53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94" t="s">
        <v>47</v>
      </c>
      <c r="C9" s="95"/>
      <c r="D9" s="95"/>
      <c r="E9" s="95"/>
      <c r="F9" s="96"/>
      <c r="G9" s="12">
        <f>'Fane 3. Korrigeret grundlag'!G9+(SUM('Fane 2.1. Økonomisk ramme 2018'!E13,'Fane 2.1. Økonomisk ramme 2018'!E14,'Fane 2.1. Økonomisk ramme 2018'!E17))</f>
        <v>6003068.8067158498</v>
      </c>
      <c r="H9" s="23" t="s">
        <v>4</v>
      </c>
      <c r="I9" s="2"/>
    </row>
    <row r="10" spans="1:9" x14ac:dyDescent="0.25">
      <c r="A10" s="2"/>
      <c r="B10" s="43" t="s">
        <v>187</v>
      </c>
      <c r="C10" s="44"/>
      <c r="D10" s="44"/>
      <c r="E10" s="44"/>
      <c r="F10" s="45"/>
      <c r="G10" s="12">
        <v>-129387.94</v>
      </c>
      <c r="H10" s="23" t="s">
        <v>4</v>
      </c>
      <c r="I10" s="2"/>
    </row>
    <row r="11" spans="1:9" x14ac:dyDescent="0.25">
      <c r="A11" s="2"/>
      <c r="B11" s="75" t="s">
        <v>16</v>
      </c>
      <c r="C11" s="76"/>
      <c r="D11" s="76"/>
      <c r="E11" s="76"/>
      <c r="F11" s="77"/>
      <c r="G11" s="27">
        <f>2</f>
        <v>2</v>
      </c>
      <c r="H11" s="23" t="s">
        <v>38</v>
      </c>
      <c r="I11" s="2"/>
    </row>
    <row r="12" spans="1:9" x14ac:dyDescent="0.25">
      <c r="A12" s="2"/>
      <c r="B12" s="82" t="s">
        <v>39</v>
      </c>
      <c r="C12" s="83"/>
      <c r="D12" s="83"/>
      <c r="E12" s="83"/>
      <c r="F12" s="84"/>
      <c r="G12" s="18">
        <f>($G$9+$G$10)*(1+'Fane 2.1. Økonomisk ramme 2018'!E19/100)*$G$11/100</f>
        <v>119529.40563766756</v>
      </c>
      <c r="H12" s="28" t="s">
        <v>4</v>
      </c>
      <c r="I12" s="2"/>
    </row>
    <row r="13" spans="1:9" x14ac:dyDescent="0.25">
      <c r="A13" s="2"/>
      <c r="B13" s="75" t="s">
        <v>48</v>
      </c>
      <c r="C13" s="76"/>
      <c r="D13" s="76"/>
      <c r="E13" s="76"/>
      <c r="F13" s="77"/>
      <c r="G13" s="12">
        <f>'Fane 3. Korrigeret grundlag'!G10+SUM('Fane 2.1. Økonomisk ramme 2018'!E15,'Fane 2.1. Økonomisk ramme 2018'!E18)</f>
        <v>29434724.086614296</v>
      </c>
      <c r="H13" s="23" t="s">
        <v>4</v>
      </c>
      <c r="I13" s="2"/>
    </row>
    <row r="14" spans="1:9" x14ac:dyDescent="0.25">
      <c r="A14" s="2"/>
      <c r="B14" s="42" t="s">
        <v>189</v>
      </c>
      <c r="C14" s="38"/>
      <c r="D14" s="38"/>
      <c r="E14" s="38"/>
      <c r="F14" s="39"/>
      <c r="G14" s="12">
        <v>-268366.99890000001</v>
      </c>
      <c r="H14" s="23" t="s">
        <v>4</v>
      </c>
      <c r="I14" s="2"/>
    </row>
    <row r="15" spans="1:9" x14ac:dyDescent="0.25">
      <c r="A15" s="2"/>
      <c r="B15" s="75" t="s">
        <v>16</v>
      </c>
      <c r="C15" s="76"/>
      <c r="D15" s="76"/>
      <c r="E15" s="76"/>
      <c r="F15" s="77"/>
      <c r="G15" s="26">
        <v>1.77</v>
      </c>
      <c r="H15" s="23" t="s">
        <v>38</v>
      </c>
      <c r="I15" s="2"/>
    </row>
    <row r="16" spans="1:9" x14ac:dyDescent="0.25">
      <c r="A16" s="2"/>
      <c r="B16" s="82" t="s">
        <v>40</v>
      </c>
      <c r="C16" s="83"/>
      <c r="D16" s="83"/>
      <c r="E16" s="83"/>
      <c r="F16" s="84"/>
      <c r="G16" s="18">
        <f>($G$13+$G$14)*(1+'Fane 2.1. Økonomisk ramme 2018'!E19/100)*$G$15/100</f>
        <v>525278.79956046259</v>
      </c>
      <c r="H16" s="28" t="s">
        <v>4</v>
      </c>
      <c r="I16" s="2"/>
    </row>
    <row r="17" spans="1:9" x14ac:dyDescent="0.25">
      <c r="A17" s="2"/>
      <c r="B17" s="85" t="s">
        <v>52</v>
      </c>
      <c r="C17" s="86"/>
      <c r="D17" s="86"/>
      <c r="E17" s="86"/>
      <c r="F17" s="87"/>
      <c r="G17" s="21">
        <f>G12+G16</f>
        <v>644808.2051981301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73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54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75" t="s">
        <v>42</v>
      </c>
      <c r="C9" s="76"/>
      <c r="D9" s="76"/>
      <c r="E9" s="76"/>
      <c r="F9" s="77"/>
      <c r="G9" s="12">
        <v>1974468</v>
      </c>
      <c r="H9" s="23" t="s">
        <v>4</v>
      </c>
      <c r="I9" s="2"/>
    </row>
    <row r="10" spans="1:9" x14ac:dyDescent="0.25">
      <c r="A10" s="2"/>
      <c r="B10" s="75" t="s">
        <v>122</v>
      </c>
      <c r="C10" s="76"/>
      <c r="D10" s="76"/>
      <c r="E10" s="76"/>
      <c r="F10" s="77"/>
      <c r="G10" s="12">
        <v>1974468</v>
      </c>
      <c r="H10" s="23" t="s">
        <v>4</v>
      </c>
      <c r="I10" s="2"/>
    </row>
    <row r="11" spans="1:9" x14ac:dyDescent="0.25">
      <c r="A11" s="2"/>
      <c r="B11" s="97" t="s">
        <v>45</v>
      </c>
      <c r="C11" s="98"/>
      <c r="D11" s="98"/>
      <c r="E11" s="98"/>
      <c r="F11" s="99"/>
      <c r="G11" s="36">
        <f>G9-G10</f>
        <v>0</v>
      </c>
      <c r="H11" s="29" t="s">
        <v>4</v>
      </c>
      <c r="I11" s="2"/>
    </row>
    <row r="12" spans="1:9" x14ac:dyDescent="0.25">
      <c r="A12" s="2"/>
      <c r="B12" s="75" t="s">
        <v>43</v>
      </c>
      <c r="C12" s="76"/>
      <c r="D12" s="76"/>
      <c r="E12" s="76"/>
      <c r="F12" s="77"/>
      <c r="G12" s="12">
        <v>0</v>
      </c>
      <c r="H12" s="23" t="s">
        <v>127</v>
      </c>
      <c r="I12" s="2"/>
    </row>
    <row r="13" spans="1:9" x14ac:dyDescent="0.25">
      <c r="A13" s="2"/>
      <c r="B13" s="85" t="s">
        <v>41</v>
      </c>
      <c r="C13" s="86"/>
      <c r="D13" s="86"/>
      <c r="E13" s="86"/>
      <c r="F13" s="87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1" t="s">
        <v>74</v>
      </c>
      <c r="C3" s="71"/>
      <c r="D3" s="71"/>
      <c r="E3" s="71"/>
      <c r="F3" s="71"/>
      <c r="G3" s="71"/>
      <c r="H3" s="2"/>
    </row>
    <row r="4" spans="1:8" ht="15" customHeight="1" x14ac:dyDescent="0.25">
      <c r="A4" s="2"/>
      <c r="B4" s="71"/>
      <c r="C4" s="71"/>
      <c r="D4" s="71"/>
      <c r="E4" s="71"/>
      <c r="F4" s="71"/>
      <c r="G4" s="7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75</v>
      </c>
      <c r="C8" s="86"/>
      <c r="D8" s="86"/>
      <c r="E8" s="86"/>
      <c r="F8" s="86"/>
      <c r="G8" s="87"/>
      <c r="H8" s="2"/>
    </row>
    <row r="9" spans="1:8" ht="39" customHeight="1" x14ac:dyDescent="0.25">
      <c r="A9" s="2"/>
      <c r="B9" s="46" t="s">
        <v>0</v>
      </c>
      <c r="C9" s="19" t="s">
        <v>1</v>
      </c>
      <c r="D9" s="46" t="s">
        <v>2</v>
      </c>
      <c r="E9" s="46" t="s">
        <v>44</v>
      </c>
      <c r="F9" s="100" t="s">
        <v>3</v>
      </c>
      <c r="G9" s="100"/>
      <c r="H9" s="2"/>
    </row>
    <row r="10" spans="1:8" x14ac:dyDescent="0.25">
      <c r="A10" s="2"/>
      <c r="B10" s="104" t="s">
        <v>149</v>
      </c>
      <c r="C10" s="30">
        <v>2016</v>
      </c>
      <c r="D10" s="30">
        <v>75</v>
      </c>
      <c r="E10" s="12">
        <v>47422.86</v>
      </c>
      <c r="F10" s="12">
        <f>E10/D10</f>
        <v>632.3048</v>
      </c>
      <c r="G10" s="23" t="s">
        <v>4</v>
      </c>
      <c r="H10" s="2"/>
    </row>
    <row r="11" spans="1:8" x14ac:dyDescent="0.25">
      <c r="A11" s="2"/>
      <c r="B11" s="104" t="s">
        <v>150</v>
      </c>
      <c r="C11" s="30">
        <v>2016</v>
      </c>
      <c r="D11" s="30">
        <v>5</v>
      </c>
      <c r="E11" s="12">
        <v>26401.14</v>
      </c>
      <c r="F11" s="12">
        <f t="shared" ref="F11:F19" si="0">E11/D11</f>
        <v>5280.2280000000001</v>
      </c>
      <c r="G11" s="23" t="s">
        <v>4</v>
      </c>
      <c r="H11" s="2"/>
    </row>
    <row r="12" spans="1:8" x14ac:dyDescent="0.25">
      <c r="A12" s="2"/>
      <c r="B12" s="104" t="s">
        <v>151</v>
      </c>
      <c r="C12" s="30">
        <v>2016</v>
      </c>
      <c r="D12" s="30">
        <v>5</v>
      </c>
      <c r="E12" s="12">
        <v>74841.789999999994</v>
      </c>
      <c r="F12" s="12">
        <f t="shared" si="0"/>
        <v>14968.357999999998</v>
      </c>
      <c r="G12" s="23" t="s">
        <v>4</v>
      </c>
      <c r="H12" s="2"/>
    </row>
    <row r="13" spans="1:8" ht="26.25" x14ac:dyDescent="0.25">
      <c r="A13" s="2"/>
      <c r="B13" s="104" t="s">
        <v>152</v>
      </c>
      <c r="C13" s="30">
        <v>2016</v>
      </c>
      <c r="D13" s="30">
        <v>50</v>
      </c>
      <c r="E13" s="12">
        <v>4965680.22</v>
      </c>
      <c r="F13" s="12">
        <f t="shared" si="0"/>
        <v>99313.604399999997</v>
      </c>
      <c r="G13" s="23" t="s">
        <v>4</v>
      </c>
      <c r="H13" s="2"/>
    </row>
    <row r="14" spans="1:8" x14ac:dyDescent="0.25">
      <c r="A14" s="2"/>
      <c r="B14" s="104" t="s">
        <v>153</v>
      </c>
      <c r="C14" s="30">
        <v>2016</v>
      </c>
      <c r="D14" s="30">
        <v>75</v>
      </c>
      <c r="E14" s="12">
        <v>258724.52</v>
      </c>
      <c r="F14" s="12">
        <f t="shared" si="0"/>
        <v>3449.6602666666663</v>
      </c>
      <c r="G14" s="23" t="s">
        <v>4</v>
      </c>
      <c r="H14" s="2"/>
    </row>
    <row r="15" spans="1:8" ht="26.25" x14ac:dyDescent="0.25">
      <c r="A15" s="2"/>
      <c r="B15" s="104" t="s">
        <v>154</v>
      </c>
      <c r="C15" s="30">
        <v>2016</v>
      </c>
      <c r="D15" s="30">
        <v>50</v>
      </c>
      <c r="E15" s="12">
        <v>85223.2</v>
      </c>
      <c r="F15" s="12">
        <f t="shared" si="0"/>
        <v>1704.4639999999999</v>
      </c>
      <c r="G15" s="23" t="s">
        <v>4</v>
      </c>
      <c r="H15" s="2"/>
    </row>
    <row r="16" spans="1:8" x14ac:dyDescent="0.25">
      <c r="A16" s="2"/>
      <c r="B16" s="104" t="s">
        <v>155</v>
      </c>
      <c r="C16" s="30">
        <v>2016</v>
      </c>
      <c r="D16" s="30">
        <v>75</v>
      </c>
      <c r="E16" s="12">
        <v>6995271.1799999997</v>
      </c>
      <c r="F16" s="12">
        <f t="shared" si="0"/>
        <v>93270.282399999996</v>
      </c>
      <c r="G16" s="23" t="s">
        <v>4</v>
      </c>
      <c r="H16" s="2"/>
    </row>
    <row r="17" spans="1:8" x14ac:dyDescent="0.25">
      <c r="A17" s="2"/>
      <c r="B17" s="104" t="s">
        <v>156</v>
      </c>
      <c r="C17" s="30">
        <v>2016</v>
      </c>
      <c r="D17" s="30">
        <v>75</v>
      </c>
      <c r="E17" s="12">
        <v>300827.48</v>
      </c>
      <c r="F17" s="12">
        <f t="shared" si="0"/>
        <v>4011.0330666666664</v>
      </c>
      <c r="G17" s="23" t="s">
        <v>4</v>
      </c>
      <c r="H17" s="2"/>
    </row>
    <row r="18" spans="1:8" x14ac:dyDescent="0.25">
      <c r="A18" s="2"/>
      <c r="B18" s="104" t="s">
        <v>157</v>
      </c>
      <c r="C18" s="30">
        <v>2016</v>
      </c>
      <c r="D18" s="30">
        <v>20</v>
      </c>
      <c r="E18" s="12">
        <v>893658.63</v>
      </c>
      <c r="F18" s="12">
        <f t="shared" si="0"/>
        <v>44682.931499999999</v>
      </c>
      <c r="G18" s="23" t="s">
        <v>4</v>
      </c>
      <c r="H18" s="2"/>
    </row>
    <row r="19" spans="1:8" x14ac:dyDescent="0.25">
      <c r="A19" s="2"/>
      <c r="B19" s="104" t="s">
        <v>158</v>
      </c>
      <c r="C19" s="30">
        <v>2016</v>
      </c>
      <c r="D19" s="30">
        <v>10</v>
      </c>
      <c r="E19" s="12">
        <v>1753761.13</v>
      </c>
      <c r="F19" s="12">
        <f t="shared" si="0"/>
        <v>175376.11299999998</v>
      </c>
      <c r="G19" s="23" t="s">
        <v>4</v>
      </c>
      <c r="H19" s="2"/>
    </row>
    <row r="20" spans="1:8" x14ac:dyDescent="0.25">
      <c r="A20" s="2"/>
      <c r="B20" s="85" t="s">
        <v>76</v>
      </c>
      <c r="C20" s="86"/>
      <c r="D20" s="86"/>
      <c r="E20" s="87"/>
      <c r="F20" s="21">
        <f>SUM(F10:F19)</f>
        <v>442688.97943333327</v>
      </c>
      <c r="G20" s="22" t="s">
        <v>4</v>
      </c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4">
    <mergeCell ref="B20:E20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Jan Bæk Pedersen</cp:lastModifiedBy>
  <cp:lastPrinted>2016-06-14T12:57:30Z</cp:lastPrinted>
  <dcterms:created xsi:type="dcterms:W3CDTF">2016-06-02T08:51:18Z</dcterms:created>
  <dcterms:modified xsi:type="dcterms:W3CDTF">2018-08-10T11:12:58Z</dcterms:modified>
</cp:coreProperties>
</file>