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J3" i="16" s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G6" i="16"/>
  <c r="J3" i="24"/>
  <c r="F5" i="16"/>
  <c r="I3" i="16" s="1"/>
  <c r="F6" i="16"/>
  <c r="G5" i="16"/>
  <c r="E5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<sst xmlns="http://schemas.openxmlformats.org/spreadsheetml/2006/main" count="114" uniqueCount="76">
  <si>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</si>
  <si>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</si>
  <si>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</si>
  <si>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</si>
  <si>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</si>
  <si>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</si>
  <si>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</si>
  <si>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</si>
  <si>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</si>
  <si>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</si>
  <si>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</si>
  <si>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</si>
  <si>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</si>
  <si>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</si>
  <si>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</si>
  <si>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</si>
  <si>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</si>
  <si>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</si>
  <si>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</si>
  <si>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</si>
  <si>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</si>
  <si>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</si>
  <si>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</si>
  <si>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</si>
  <si>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Overtagelse af private spildevandsanlæg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</si>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</sst>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6435949.6598093333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531380.19782252563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39145.822435999995</v>
      </c>
      <c r="C4" t="s">
        <v>11</v>
      </c>
    </row>
    <row r="5" spans="1:3" s="26" customFormat="1" x14ac:dyDescent="0.25">
      <c r="A5" s="3" t="s">
        <v>12</v>
      </c>
      <c r="B5" s="48">
        <f>SUM(B2:B4)</f>
        <v>7006475.6800678587</v>
      </c>
      <c r="C5" s="62" t="s">
        <v>11</v>
      </c>
    </row>
    <row r="6" spans="1:3" x14ac:dyDescent="0.25">
      <c r="A6" s="47" t="s">
        <v>0</v>
      </c>
      <c r="B6" s="38">
        <f>Investeringer!E3</f>
        <v>14663840.709844906</v>
      </c>
      <c r="C6" s="23" t="s">
        <v>11</v>
      </c>
    </row>
    <row r="7" spans="1:3" x14ac:dyDescent="0.25">
      <c r="A7" s="4" t="s">
        <v>1</v>
      </c>
      <c r="B7" s="35">
        <f>Investeringer!F3</f>
        <v>3033786.8756316914</v>
      </c>
      <c r="C7" t="s">
        <v>11</v>
      </c>
    </row>
    <row r="8" spans="1:3" x14ac:dyDescent="0.25">
      <c r="A8" s="4" t="s">
        <v>2</v>
      </c>
      <c r="B8" s="35">
        <f>Investeringer!G3</f>
        <v>293646.50244261499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1421956.8576746667</v>
      </c>
      <c r="C9" t="s">
        <v>11</v>
      </c>
    </row>
    <row r="10" spans="1:3" s="22" customFormat="1" x14ac:dyDescent="0.25">
      <c r="A10" s="3" t="s">
        <v>49</v>
      </c>
      <c r="B10" s="48">
        <f>SUM(B6:B9)</f>
        <v>19413230.945593875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11455661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11455661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37875367.625661731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38210630.532288507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5962876</v>
      </c>
      <c r="C2" s="49">
        <v>0</v>
      </c>
      <c r="D2" s="49">
        <f>B2+C2</f>
        <v>5962876</v>
      </c>
      <c r="E2" s="50">
        <f>D2</f>
        <v>5962876</v>
      </c>
      <c r="F2" s="49">
        <v>9631559.2679361217</v>
      </c>
      <c r="G2" s="49">
        <v>190973.91626194905</v>
      </c>
      <c r="H2" s="49">
        <f>F2-G2</f>
        <v>9440585.351674173</v>
      </c>
      <c r="I2" s="49">
        <f>AVERAGEIF(E2:E4,"&lt;&gt;0")</f>
        <v>6435949.6598093333</v>
      </c>
      <c r="J2" s="49">
        <v>5157800.7559357891</v>
      </c>
      <c r="K2" s="39">
        <f>IF(H2&gt;I2,IF(I2&gt;J2,I2,J2),H2)</f>
        <v>6435949.6598093333</v>
      </c>
    </row>
    <row r="3" spans="1:11" s="23" customFormat="1" x14ac:dyDescent="0.25">
      <c r="A3" s="28">
        <v>2014</v>
      </c>
      <c r="B3" s="49">
        <v>5848103</v>
      </c>
      <c r="C3" s="49"/>
      <c r="D3" s="49">
        <f t="shared" ref="D3:D4" si="0">B3+C3</f>
        <v>5848103</v>
      </c>
      <c r="E3" s="50">
        <f>D3*Pristalsregulering!C7</f>
        <v>5852781.4823999992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7375569</v>
      </c>
      <c r="C4" s="49"/>
      <c r="D4" s="49">
        <f t="shared" si="0"/>
        <v>7375569</v>
      </c>
      <c r="E4" s="50">
        <f>D4*Pristalsregulering!$C$6*Pristalsregulering!$C$7</f>
        <v>7492191.4970279988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70" width="0" hidden="1" customWidth="1"/>
    <col min="71" max="71" width="9.140625" hidden="1" customWidth="1"/>
    <col min="72" max="108" width="0" hidden="1" customWidth="1"/>
    <col min="109" max="109" width="9.140625" hidden="1" customWidth="1"/>
    <col min="110" max="142" width="0" hidden="1" customWidth="1"/>
    <col min="143" max="143" width="9.140625" hidden="1" customWidth="1"/>
    <col min="144" max="180" width="0" hidden="1" customWidth="1"/>
    <col min="181" max="181" width="9.140625" hidden="1" customWidth="1"/>
    <col min="182" max="218" width="0" hidden="1" customWidth="1"/>
    <col min="219" max="219" width="9.140625" hidden="1" customWidth="1"/>
    <col min="220" max="252" width="0" hidden="1" customWidth="1"/>
    <col min="253" max="253" width="9.140625" hidden="1" customWidth="1"/>
    <col min="254" max="290" width="0" hidden="1" customWidth="1"/>
    <col min="291" max="291" width="9.140625" hidden="1" customWidth="1"/>
    <col min="292" max="328" width="0" hidden="1" customWidth="1"/>
    <col min="329" max="329" width="9.140625" hidden="1" customWidth="1"/>
    <col min="330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30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471665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473464.16382252559</v>
      </c>
      <c r="H3" s="45">
        <f>IF(E4=0,0,AVERAGEIF(E4:E6,"&lt;&gt;0"))+E3</f>
        <v>32610.461199999998</v>
      </c>
      <c r="I3" s="38">
        <f>IF(F4=0,0,AVERAGEIF(F4:F6,"&lt;&gt;0"))+F3</f>
        <v>25305.572799999998</v>
      </c>
      <c r="J3" s="38">
        <f>IF(G4=0,0,AVERAGEIF(G4:G6,"&lt;&gt;0"))+G3</f>
        <v>473464.16382252559</v>
      </c>
      <c r="K3" s="57">
        <f>SUM(H3:J3)</f>
        <v>531380.19782252563</v>
      </c>
    </row>
    <row r="4" spans="1:11" x14ac:dyDescent="0.25">
      <c r="A4" s="28">
        <v>2015</v>
      </c>
      <c r="B4" s="35">
        <v>2768</v>
      </c>
      <c r="C4" s="35">
        <v>19154</v>
      </c>
      <c r="D4" s="35"/>
      <c r="E4" s="45">
        <f t="shared" ref="E4:G4" si="0">B4</f>
        <v>2768</v>
      </c>
      <c r="F4" s="35">
        <f t="shared" si="0"/>
        <v>19154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>
        <v>62403</v>
      </c>
      <c r="C5" s="35">
        <v>31432</v>
      </c>
      <c r="D5" s="35">
        <v>277356</v>
      </c>
      <c r="E5" s="45">
        <f>B5*Pristalsregulering!$C$7</f>
        <v>62452.922399999996</v>
      </c>
      <c r="F5" s="35">
        <f>C5*Pristalsregulering!$C$7</f>
        <v>31457.145599999996</v>
      </c>
      <c r="G5" s="35">
        <f>D5*Pristalsregulering!$C$7</f>
        <v>277577.8848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2790</v>
      </c>
      <c r="C3" s="42">
        <v>13839</v>
      </c>
      <c r="D3" s="42">
        <v>0</v>
      </c>
      <c r="E3" s="41">
        <f>B3</f>
        <v>2790</v>
      </c>
      <c r="F3" s="42">
        <f t="shared" ref="F3:G3" si="0">C3</f>
        <v>13839</v>
      </c>
      <c r="G3" s="43">
        <f t="shared" si="0"/>
        <v>0</v>
      </c>
      <c r="H3" s="44">
        <f>IF(E3=0,0,AVERAGEIF(E3:E5,"&lt;&gt;0"))+IF(F3=0,0,AVERAGEIF(F3:F5,"&lt;&gt;0"))+IF(G3=0,0,AVERAGEIF(G3:G5,"&lt;&gt;0"))</f>
        <v>39145.822435999995</v>
      </c>
    </row>
    <row r="4" spans="1:8" x14ac:dyDescent="0.25">
      <c r="A4" s="31">
        <v>2014</v>
      </c>
      <c r="B4" s="41">
        <v>11124</v>
      </c>
      <c r="C4" s="42">
        <v>39200</v>
      </c>
      <c r="D4" s="42">
        <v>0</v>
      </c>
      <c r="E4" s="41">
        <f>B4*Pristalsregulering!$C$7</f>
        <v>11132.8992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12059</v>
      </c>
      <c r="C5" s="42">
        <v>37600</v>
      </c>
      <c r="D5" s="42">
        <v>0</v>
      </c>
      <c r="E5" s="41">
        <f>B5*Pristalsregulering!$C$7*Pristalsregulering!$C$6</f>
        <v>12249.676907999998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13469141.774085455</v>
      </c>
      <c r="C3" s="38">
        <v>2934699.8519999995</v>
      </c>
      <c r="D3" s="40">
        <v>292530.64573333302</v>
      </c>
      <c r="E3" s="35">
        <f>B3*Pristalsregulering!C2*Pristalsregulering!C3*Pristalsregulering!C4*Pristalsregulering!C5*Pristalsregulering!C6*Pristalsregulering!C7</f>
        <v>14663840.709844906</v>
      </c>
      <c r="F3" s="35">
        <v>3033786.8756316914</v>
      </c>
      <c r="G3" s="35">
        <f xml:space="preserve"> D3/Pristalsregulering!$C$8</f>
        <v>293646.50244261499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1417826</v>
      </c>
      <c r="D3" s="38">
        <v>767</v>
      </c>
      <c r="E3" s="40">
        <v>0</v>
      </c>
      <c r="F3" s="38">
        <f>B3</f>
        <v>0</v>
      </c>
      <c r="G3" s="38">
        <f>C3</f>
        <v>1417826</v>
      </c>
      <c r="H3" s="38">
        <f>D3</f>
        <v>767</v>
      </c>
      <c r="I3" s="40">
        <f>E3</f>
        <v>0</v>
      </c>
      <c r="J3" s="42">
        <f>AVERAGE(F3:F5)</f>
        <v>0</v>
      </c>
      <c r="K3" s="42">
        <f>G3</f>
        <v>1417826</v>
      </c>
      <c r="L3" s="43">
        <f>AVERAGE(H3:H5)+AVERAGE(I3:I5)</f>
        <v>4130.8576746666658</v>
      </c>
      <c r="M3" s="44">
        <f>SUM(J3:L3)</f>
        <v>1421956.8576746667</v>
      </c>
      <c r="N3" s="23"/>
    </row>
    <row r="4" spans="1:14" x14ac:dyDescent="0.25">
      <c r="A4" s="28">
        <v>2014</v>
      </c>
      <c r="B4" s="45">
        <v>0</v>
      </c>
      <c r="C4" s="38">
        <v>1672288</v>
      </c>
      <c r="D4" s="38">
        <v>5778</v>
      </c>
      <c r="E4" s="40">
        <v>0</v>
      </c>
      <c r="F4" s="38">
        <f>IF(B4="","",B4*Pristalsregulering!$C$7)</f>
        <v>0</v>
      </c>
      <c r="G4" s="38">
        <f>IF(C4="","",C4*Pristalsregulering!$C$7)</f>
        <v>1673625.8303999999</v>
      </c>
      <c r="H4" s="38">
        <f>IF(D4="","",D4*Pristalsregulering!$C$7)</f>
        <v>5782.6223999999993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247459</v>
      </c>
      <c r="D5" s="38">
        <v>5752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251371.82170799997</v>
      </c>
      <c r="H5" s="38">
        <f>IF(D5="","",D5*Pristalsregulering!$C$7*Pristalsregulering!$C$6)</f>
        <v>5842.9506239999982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439155</v>
      </c>
      <c r="E2" s="42">
        <v>10983983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11455661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2017-10-13T11:56:17Z</dcterms:modified>
</cp:coreProperties>
</file>