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J3" i="16" s="1"/>
  <c r="E6" i="16"/>
  <c r="G6" i="16"/>
  <c r="J3" i="24"/>
  <c r="F5" i="16"/>
  <c r="F6" i="16"/>
  <c r="E5" i="16"/>
  <c r="I3" i="16" l="1"/>
  <c r="M3" i="24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<sst xmlns="http://schemas.openxmlformats.org/spreadsheetml/2006/main" count="114" uniqueCount="76">
  <si>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</si>
  <si>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</si>
  <si>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</si>
  <si>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</si>
  <si>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</si>
  <si>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</si>
  <si>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</si>
  <si>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</si>
  <si>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</si>
  <si>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</si>
  <si>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</si>
  <si>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</si>
  <si>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</si>
  <si>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</si>
  <si>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</si>
  <si>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</si>
  <si>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</si>
  <si>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</si>
  <si>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</si>
  <si>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</si>
  <si>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</si>
  <si>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</si>
  <si>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</si>
  <si>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 xml:space="preserve">Dokumenteret spildevandssikkerhed (DSS) </t>
  </si>
  <si>
    <t>Badevandskvalitet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</si>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</sst>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12955592.229794666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311764.34390533331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57648.470969333328</v>
      </c>
      <c r="C4" t="s">
        <v>11</v>
      </c>
    </row>
    <row r="5" spans="1:3" s="26" customFormat="1" x14ac:dyDescent="0.25">
      <c r="A5" s="3" t="s">
        <v>12</v>
      </c>
      <c r="B5" s="48">
        <f>SUM(B2:B4)</f>
        <v>13325005.044669334</v>
      </c>
      <c r="C5" s="62" t="s">
        <v>11</v>
      </c>
    </row>
    <row r="6" spans="1:3" x14ac:dyDescent="0.25">
      <c r="A6" s="47" t="s">
        <v>0</v>
      </c>
      <c r="B6" s="38">
        <f>Investeringer!E3</f>
        <v>26843114.438756179</v>
      </c>
      <c r="C6" s="23" t="s">
        <v>11</v>
      </c>
    </row>
    <row r="7" spans="1:3" x14ac:dyDescent="0.25">
      <c r="A7" s="4" t="s">
        <v>1</v>
      </c>
      <c r="B7" s="35">
        <f>Investeringer!F3</f>
        <v>7956712.2706974633</v>
      </c>
      <c r="C7" t="s">
        <v>11</v>
      </c>
    </row>
    <row r="8" spans="1:3" x14ac:dyDescent="0.25">
      <c r="A8" s="4" t="s">
        <v>2</v>
      </c>
      <c r="B8" s="35">
        <f>Investeringer!G3</f>
        <v>2175116.1055678278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6295841.1774040004</v>
      </c>
      <c r="C9" t="s">
        <v>11</v>
      </c>
    </row>
    <row r="10" spans="1:3" s="22" customFormat="1" x14ac:dyDescent="0.25">
      <c r="A10" s="3" t="s">
        <v>49</v>
      </c>
      <c r="B10" s="48">
        <f>SUM(B6:B9)</f>
        <v>43270783.992425472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22643342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22643342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79239131.037094802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79940535.222861096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11648195</v>
      </c>
      <c r="C2" s="49">
        <v>0</v>
      </c>
      <c r="D2" s="49">
        <f>B2+C2</f>
        <v>11648195</v>
      </c>
      <c r="E2" s="50">
        <f>D2</f>
        <v>11648195</v>
      </c>
      <c r="F2" s="49">
        <v>17953061.610713828</v>
      </c>
      <c r="G2" s="49">
        <v>837430</v>
      </c>
      <c r="H2" s="49">
        <f>F2-G2</f>
        <v>17115631.610713828</v>
      </c>
      <c r="I2" s="49">
        <f>AVERAGEIF(E2:E4,"&lt;&gt;0")</f>
        <v>12955592.229794666</v>
      </c>
      <c r="J2" s="49">
        <v>11410420.77096796</v>
      </c>
      <c r="K2" s="39">
        <f>IF(H2&gt;I2,IF(I2&gt;J2,I2,J2),H2)</f>
        <v>12955592.229794666</v>
      </c>
    </row>
    <row r="3" spans="1:11" s="23" customFormat="1" x14ac:dyDescent="0.25">
      <c r="A3" s="28">
        <v>2014</v>
      </c>
      <c r="B3" s="49">
        <v>10799822</v>
      </c>
      <c r="C3" s="49"/>
      <c r="D3" s="49">
        <f t="shared" ref="D3:D4" si="0">B3+C3</f>
        <v>10799822</v>
      </c>
      <c r="E3" s="50">
        <f>D3*Pristalsregulering!C7</f>
        <v>10808461.8576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16154682</v>
      </c>
      <c r="C4" s="49"/>
      <c r="D4" s="49">
        <f t="shared" si="0"/>
        <v>16154682</v>
      </c>
      <c r="E4" s="50">
        <f>D4*Pristalsregulering!$C$6*Pristalsregulering!$C$7</f>
        <v>16410119.831783997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69" width="0" hidden="1" customWidth="1"/>
    <col min="70" max="71" width="9.140625" hidden="1" customWidth="1"/>
    <col min="72" max="107" width="0" hidden="1" customWidth="1"/>
    <col min="108" max="109" width="9.140625" hidden="1" customWidth="1"/>
    <col min="110" max="140" width="0" hidden="1" customWidth="1"/>
    <col min="141" max="142" width="9.140625" hidden="1" customWidth="1"/>
    <col min="143" max="178" width="0" hidden="1" customWidth="1"/>
    <col min="179" max="181" width="9.140625" hidden="1" customWidth="1"/>
    <col min="182" max="216" width="0" hidden="1" customWidth="1"/>
    <col min="217" max="219" width="9.140625" hidden="1" customWidth="1"/>
    <col min="220" max="249" width="0" hidden="1" customWidth="1"/>
    <col min="250" max="252" width="9.140625" hidden="1" customWidth="1"/>
    <col min="253" max="287" width="0" hidden="1" customWidth="1"/>
    <col min="288" max="291" width="9.140625" hidden="1" customWidth="1"/>
    <col min="292" max="325" width="0" hidden="1" customWidth="1"/>
    <col min="326" max="329" width="9.140625" hidden="1" customWidth="1"/>
    <col min="330" max="338" width="0" hidden="1" customWidth="1"/>
    <col min="339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140601.61319999999</v>
      </c>
      <c r="I3" s="38">
        <f>IF(F4=0,0,AVERAGEIF(F4:F6,"&lt;&gt;0"))+F3</f>
        <v>40539.166885333332</v>
      </c>
      <c r="J3" s="38">
        <f>IF(G4=0,0,AVERAGEIF(G4:G6,"&lt;&gt;0"))+G3</f>
        <v>130623.56382</v>
      </c>
      <c r="K3" s="57">
        <f>SUM(H3:J3)</f>
        <v>311764.34390533331</v>
      </c>
    </row>
    <row r="4" spans="1:11" x14ac:dyDescent="0.25">
      <c r="A4" s="28">
        <v>2015</v>
      </c>
      <c r="B4" s="35">
        <v>163326</v>
      </c>
      <c r="C4" s="35">
        <v>36949</v>
      </c>
      <c r="D4" s="35">
        <v>174051</v>
      </c>
      <c r="E4" s="45">
        <f t="shared" ref="E4:G4" si="0">B4</f>
        <v>163326</v>
      </c>
      <c r="F4" s="35">
        <f t="shared" si="0"/>
        <v>36949</v>
      </c>
      <c r="G4" s="35">
        <f t="shared" si="0"/>
        <v>174051</v>
      </c>
      <c r="H4" s="45"/>
      <c r="I4" s="38"/>
      <c r="J4" s="38"/>
      <c r="K4" s="54"/>
    </row>
    <row r="5" spans="1:11" x14ac:dyDescent="0.25">
      <c r="A5" s="28">
        <v>2014</v>
      </c>
      <c r="B5" s="35">
        <v>117783</v>
      </c>
      <c r="C5" s="35">
        <v>64922</v>
      </c>
      <c r="D5" s="35">
        <v>96348</v>
      </c>
      <c r="E5" s="45">
        <f>B5*Pristalsregulering!$C$7</f>
        <v>117877.22639999999</v>
      </c>
      <c r="F5" s="35">
        <f>C5*Pristalsregulering!$C$7</f>
        <v>64973.937599999997</v>
      </c>
      <c r="G5" s="35">
        <f>D5*Pristalsregulering!$C$7</f>
        <v>96425.078399999999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>
        <v>19388</v>
      </c>
      <c r="D6" s="35">
        <v>119505</v>
      </c>
      <c r="E6" s="45">
        <f>B6*Pristalsregulering!$C$7*Pristalsregulering!$C$6</f>
        <v>0</v>
      </c>
      <c r="F6" s="35">
        <f>C6*Pristalsregulering!$C$7*Pristalsregulering!$C$6</f>
        <v>19694.563055999999</v>
      </c>
      <c r="G6" s="35">
        <f>D6*Pristalsregulering!$C$7*Pristalsregulering!$C$6</f>
        <v>121394.61305999997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5770</v>
      </c>
      <c r="C3" s="42">
        <v>27654</v>
      </c>
      <c r="D3" s="42">
        <v>0</v>
      </c>
      <c r="E3" s="41">
        <f>B3</f>
        <v>5770</v>
      </c>
      <c r="F3" s="42">
        <f t="shared" ref="F3:G3" si="0">C3</f>
        <v>27654</v>
      </c>
      <c r="G3" s="43">
        <f t="shared" si="0"/>
        <v>0</v>
      </c>
      <c r="H3" s="44">
        <f>IF(E3=0,0,AVERAGEIF(E3:E5,"&lt;&gt;0"))+IF(F3=0,0,AVERAGEIF(F3:F5,"&lt;&gt;0"))+IF(G3=0,0,AVERAGEIF(G3:G5,"&lt;&gt;0"))</f>
        <v>57648.470969333328</v>
      </c>
    </row>
    <row r="4" spans="1:8" x14ac:dyDescent="0.25">
      <c r="A4" s="31">
        <v>2014</v>
      </c>
      <c r="B4" s="41">
        <v>11124</v>
      </c>
      <c r="C4" s="42">
        <v>58800</v>
      </c>
      <c r="D4" s="42">
        <v>0</v>
      </c>
      <c r="E4" s="41">
        <f>B4*Pristalsregulering!$C$7</f>
        <v>11132.8992</v>
      </c>
      <c r="F4" s="42">
        <f>C4*Pristalsregulering!$C$7</f>
        <v>58847.039999999994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12059</v>
      </c>
      <c r="C5" s="42">
        <v>56400</v>
      </c>
      <c r="D5" s="42">
        <v>0</v>
      </c>
      <c r="E5" s="41">
        <f>B5*Pristalsregulering!$C$7*Pristalsregulering!$C$6</f>
        <v>12249.676907999998</v>
      </c>
      <c r="F5" s="42">
        <f>C5*Pristalsregulering!$C$7*Pristalsregulering!$C$6</f>
        <v>57291.796799999989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24656140.310557917</v>
      </c>
      <c r="C3" s="38">
        <v>7686790.9699999997</v>
      </c>
      <c r="D3" s="40">
        <v>2166850.66436667</v>
      </c>
      <c r="E3" s="35">
        <f>B3*Pristalsregulering!C2*Pristalsregulering!C3*Pristalsregulering!C4*Pristalsregulering!C5*Pristalsregulering!C6*Pristalsregulering!C7</f>
        <v>26843114.438756179</v>
      </c>
      <c r="F3" s="35">
        <v>7956712.2706974633</v>
      </c>
      <c r="G3" s="35">
        <f xml:space="preserve"> D3/Pristalsregulering!$C$8</f>
        <v>2175116.1055678278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6295174</v>
      </c>
      <c r="D3" s="38">
        <v>729</v>
      </c>
      <c r="E3" s="40">
        <v>0</v>
      </c>
      <c r="F3" s="38">
        <f>B3</f>
        <v>0</v>
      </c>
      <c r="G3" s="38">
        <f>C3</f>
        <v>6295174</v>
      </c>
      <c r="H3" s="38">
        <f>D3</f>
        <v>729</v>
      </c>
      <c r="I3" s="40">
        <f>E3</f>
        <v>0</v>
      </c>
      <c r="J3" s="42">
        <f>AVERAGE(F3:F5)</f>
        <v>0</v>
      </c>
      <c r="K3" s="42">
        <f>G3</f>
        <v>6295174</v>
      </c>
      <c r="L3" s="43">
        <f>AVERAGE(H3:H5)+AVERAGE(I3:I5)</f>
        <v>667.17740399999991</v>
      </c>
      <c r="M3" s="44">
        <f>SUM(J3:L3)</f>
        <v>6295841.1774040004</v>
      </c>
      <c r="N3" s="23"/>
    </row>
    <row r="4" spans="1:14" x14ac:dyDescent="0.25">
      <c r="A4" s="28">
        <v>2014</v>
      </c>
      <c r="B4" s="45">
        <v>0</v>
      </c>
      <c r="C4" s="38">
        <v>4193214</v>
      </c>
      <c r="D4" s="38">
        <v>763</v>
      </c>
      <c r="E4" s="40">
        <v>0</v>
      </c>
      <c r="F4" s="38">
        <f>IF(B4="","",B4*Pristalsregulering!$C$7)</f>
        <v>0</v>
      </c>
      <c r="G4" s="38">
        <f>IF(C4="","",C4*Pristalsregulering!$C$7)</f>
        <v>4196568.5711999992</v>
      </c>
      <c r="H4" s="38">
        <f>IF(D4="","",D4*Pristalsregulering!$C$7)</f>
        <v>763.61039999999991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495939</v>
      </c>
      <c r="D5" s="38">
        <v>501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503780.78746799991</v>
      </c>
      <c r="H5" s="38">
        <f>IF(D5="","",D5*Pristalsregulering!$C$7*Pristalsregulering!$C$6)</f>
        <v>508.92181199999987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201821</v>
      </c>
      <c r="D2" s="42">
        <v>46816</v>
      </c>
      <c r="E2" s="42">
        <v>21902004</v>
      </c>
      <c r="F2" s="42">
        <v>460178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22643342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2017-10-13T11:56:30Z</dcterms:modified>
</cp:coreProperties>
</file>