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E12" i="2" l="1"/>
  <c r="G11" i="10" l="1"/>
  <c r="F18" i="20"/>
  <c r="F19" i="20" s="1"/>
  <c r="E16" i="2" s="1"/>
  <c r="G22" i="7"/>
  <c r="E13" i="2" s="1"/>
  <c r="G19" i="19" l="1"/>
  <c r="G20" i="19" s="1"/>
  <c r="E11" i="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G16" i="9" s="1"/>
  <c r="D11" i="20"/>
  <c r="D12" i="20" s="1"/>
  <c r="E14" i="2" s="1"/>
  <c r="E18" i="2"/>
  <c r="E17" i="2"/>
  <c r="G12" i="8" l="1"/>
  <c r="E10" i="2" l="1"/>
  <c r="E10" i="15" s="1"/>
  <c r="G12" i="7"/>
  <c r="E9" i="2" l="1"/>
  <c r="E15" i="13"/>
  <c r="F11" i="11"/>
  <c r="F27" i="11"/>
  <c r="E20" i="2" l="1"/>
  <c r="E17" i="15"/>
  <c r="G17" i="15" s="1"/>
  <c r="G11" i="9" l="1"/>
  <c r="G30" i="13"/>
  <c r="G12" i="9" l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<sst xmlns="http://schemas.openxmlformats.org/spreadsheetml/2006/main" count="381" uniqueCount="195">
  <si>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</si>
  <si>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</si>
  <si>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</si>
  <si>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</si>
  <si>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</si>
  <si>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</si>
  <si>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</si>
  <si>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</si>
  <si>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</si>
  <si>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</si>
  <si>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</si>
  <si>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</si>
  <si>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</si>
  <si>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</si>
  <si>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</si>
  <si>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</si>
  <si>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</si>
  <si>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</si>
  <si>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</si>
  <si>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</si>
  <si>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</si>
  <si>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</si>
  <si>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</si>
  <si>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</si>
  <si>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</si>
  <si>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</si>
  <si>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</si>
  <si>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</si>
  <si>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</si>
  <si>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</si>
  <si>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</si>
  <si>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</si>
  <si>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</si>
  <si>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</si>
  <si>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</si>
  <si>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</si>
  <si>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</si>
  <si>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</si>
  <si>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</si>
  <si>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</si>
  <si>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</si>
  <si>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</si>
  <si>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</si>
  <si>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</si>
  <si>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</si>
  <si>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</si>
  <si>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</si>
  <si>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</si>
  <si>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</si>
  <si>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</si>
  <si>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</si>
  <si>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</si>
  <si>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</si>
  <si>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</si>
  <si>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</si>
  <si>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</si>
  <si>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</si>
  <si>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</si>
  <si>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</si>
  <si>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</si>
  <si>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</si>
  <si>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</si>
  <si>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</si>
  <si>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</si>
  <si>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</si>
  <si>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</si>
  <si>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</si>
  <si>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</si>
  <si>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</si>
  <si>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</si>
  <si>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</si>
  <si>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</si>
  <si>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</si>
  <si>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</si>
  <si>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</si>
  <si>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</si>
  <si>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</si>
  <si>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</si>
  <si>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</si>
  <si>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</si>
  <si>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</si>
  <si>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</si>
  <si>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</si>
  <si>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</si>
  <si>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</si>
  <si>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</si>
  <si>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</si>
  <si>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</si>
  <si>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</si>
  <si>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</si>
  <si>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</si>
  <si>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</si>
  <si>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</si>
  <si>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</si>
  <si>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</si>
  <si>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</si>
  <si>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</si>
  <si>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</si>
  <si>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</si>
  <si>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</si>
  <si>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</si>
  <si>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</si>
  <si>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</si>
  <si>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</si>
  <si>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</si>
  <si>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</si>
  <si>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</si>
  <si>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</si>
  <si>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</si>
  <si>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</si>
  <si>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</si>
  <si>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</si>
  <si>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</si>
  <si>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</si>
  <si>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</si>
  <si>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</si>
  <si>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</si>
  <si>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</si>
  <si>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</si>
  <si>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</si>
  <si>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</si>
  <si>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</si>
  <si>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</si>
  <si>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</si>
  <si>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</si>
  <si>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</si>
  <si>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</si>
  <si>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</si>
  <si>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</si>
  <si>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</si>
  <si>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</si>
  <si>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</si>
  <si>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</si>
  <si>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</si>
  <si>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</si>
  <si>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</si>
  <si>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</si>
  <si>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</si>
  <si>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</si>
  <si>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</si>
  <si>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</si>
  <si>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</si>
  <si>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</si>
  <si>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</si>
  <si>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</si>
  <si>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</si>
  <si>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</si>
  <si>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</si>
  <si>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</si>
  <si>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</si>
  <si>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Ledningsnet ≤ Ø 200 mm</t>
  </si>
  <si>
    <t>Ø 200 mm &lt; Ledningsnet ≤ Ø 500 mm</t>
  </si>
  <si>
    <t>Ø 800 mm &lt; Ledningsnet ≤ Ø 1000 mm</t>
  </si>
  <si>
    <t>Stik</t>
  </si>
  <si>
    <t>Brønde</t>
  </si>
  <si>
    <t>Pumpestationer i underjordiske bygværker (&lt;50 m2), Konstruktioner</t>
  </si>
  <si>
    <t>Pumpestationer i brønde (&lt; 6,25 m2), Mek/EL</t>
  </si>
  <si>
    <t>Jordbassin Klasse B</t>
  </si>
  <si>
    <t>Andre bygninger (tekniske installationer, målere mv.)</t>
  </si>
  <si>
    <t>Pumpestationer i underjordiske bygværker (&lt;50 m2), SRO</t>
  </si>
  <si>
    <t>Arbejdsplads</t>
  </si>
  <si>
    <t>Køretøjer, små lastvogne (&lt; 3.500 kg.)</t>
  </si>
  <si>
    <t>Sand- og fedtfang, SRO</t>
  </si>
  <si>
    <t>Container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</si>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</sst>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122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98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142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78</v>
      </c>
      <c r="C9" s="76"/>
      <c r="D9" s="76"/>
      <c r="E9" s="76"/>
      <c r="F9" s="77"/>
      <c r="G9" s="12">
        <v>14549423.16</v>
      </c>
      <c r="H9" s="23" t="s">
        <v>4</v>
      </c>
      <c r="I9" s="2"/>
    </row>
    <row r="10" spans="1:9" x14ac:dyDescent="0.25">
      <c r="A10" s="2"/>
      <c r="B10" s="75" t="s">
        <v>79</v>
      </c>
      <c r="C10" s="76"/>
      <c r="D10" s="76"/>
      <c r="E10" s="76"/>
      <c r="F10" s="77"/>
      <c r="G10" s="12">
        <v>20228000</v>
      </c>
      <c r="H10" s="23" t="s">
        <v>4</v>
      </c>
      <c r="I10" s="2"/>
    </row>
    <row r="11" spans="1:9" x14ac:dyDescent="0.25">
      <c r="A11" s="2"/>
      <c r="B11" s="85" t="s">
        <v>185</v>
      </c>
      <c r="C11" s="86"/>
      <c r="D11" s="86"/>
      <c r="E11" s="86"/>
      <c r="F11" s="87"/>
      <c r="G11" s="21">
        <f>G9-G10</f>
        <v>-5678576.8399999999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186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80</v>
      </c>
      <c r="C15" s="76"/>
      <c r="D15" s="76"/>
      <c r="E15" s="76"/>
      <c r="F15" s="77"/>
      <c r="G15" s="12">
        <v>100479</v>
      </c>
      <c r="H15" s="23" t="s">
        <v>4</v>
      </c>
      <c r="I15" s="2"/>
    </row>
    <row r="16" spans="1:9" x14ac:dyDescent="0.25">
      <c r="A16" s="2"/>
      <c r="B16" s="75" t="s">
        <v>81</v>
      </c>
      <c r="C16" s="76"/>
      <c r="D16" s="76"/>
      <c r="E16" s="76"/>
      <c r="F16" s="77"/>
      <c r="G16" s="12">
        <v>-10000</v>
      </c>
      <c r="H16" s="23" t="s">
        <v>4</v>
      </c>
      <c r="I16" s="2"/>
    </row>
    <row r="17" spans="1:9" x14ac:dyDescent="0.25">
      <c r="A17" s="2"/>
      <c r="B17" s="85" t="s">
        <v>186</v>
      </c>
      <c r="C17" s="86"/>
      <c r="D17" s="86"/>
      <c r="E17" s="86"/>
      <c r="F17" s="87"/>
      <c r="G17" s="21">
        <f>G15-G16</f>
        <v>110479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187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82</v>
      </c>
      <c r="C21" s="76"/>
      <c r="D21" s="76"/>
      <c r="E21" s="76"/>
      <c r="F21" s="77"/>
      <c r="G21" s="12">
        <v>208931</v>
      </c>
      <c r="H21" s="23" t="s">
        <v>4</v>
      </c>
      <c r="I21" s="2"/>
    </row>
    <row r="22" spans="1:9" x14ac:dyDescent="0.25">
      <c r="A22" s="2"/>
      <c r="B22" s="75" t="s">
        <v>83</v>
      </c>
      <c r="C22" s="76"/>
      <c r="D22" s="76"/>
      <c r="E22" s="76"/>
      <c r="F22" s="77"/>
      <c r="G22" s="12">
        <v>386547</v>
      </c>
      <c r="H22" s="23" t="s">
        <v>4</v>
      </c>
      <c r="I22" s="2"/>
    </row>
    <row r="23" spans="1:9" x14ac:dyDescent="0.25">
      <c r="A23" s="2"/>
      <c r="B23" s="85" t="s">
        <v>187</v>
      </c>
      <c r="C23" s="86"/>
      <c r="D23" s="86"/>
      <c r="E23" s="86"/>
      <c r="F23" s="87"/>
      <c r="G23" s="21">
        <f>G21-G22</f>
        <v>-177616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188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84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85</v>
      </c>
      <c r="C28" s="76"/>
      <c r="D28" s="76"/>
      <c r="E28" s="76"/>
      <c r="F28" s="77"/>
      <c r="G28" s="12">
        <v>310909</v>
      </c>
      <c r="H28" s="23" t="s">
        <v>4</v>
      </c>
      <c r="I28" s="2"/>
    </row>
    <row r="29" spans="1:9" ht="15" customHeight="1" x14ac:dyDescent="0.25">
      <c r="A29" s="2"/>
      <c r="B29" s="91" t="s">
        <v>188</v>
      </c>
      <c r="C29" s="92"/>
      <c r="D29" s="92"/>
      <c r="E29" s="92"/>
      <c r="F29" s="93"/>
      <c r="G29" s="21">
        <f>G27-G28</f>
        <v>-310909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86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87</v>
      </c>
      <c r="C33" s="76"/>
      <c r="D33" s="76"/>
      <c r="E33" s="76"/>
      <c r="F33" s="77"/>
      <c r="G33" s="12">
        <f>'Fane 8. Gen. inv. i 2016'!F28</f>
        <v>835346.02</v>
      </c>
      <c r="H33" s="23" t="s">
        <v>4</v>
      </c>
      <c r="I33" s="2"/>
    </row>
    <row r="34" spans="1:9" x14ac:dyDescent="0.25">
      <c r="A34" s="2"/>
      <c r="B34" s="75" t="s">
        <v>88</v>
      </c>
      <c r="C34" s="76"/>
      <c r="D34" s="76"/>
      <c r="E34" s="76"/>
      <c r="F34" s="77"/>
      <c r="G34" s="12">
        <v>253333.33333333334</v>
      </c>
      <c r="H34" s="23" t="s">
        <v>4</v>
      </c>
      <c r="I34" s="2"/>
    </row>
    <row r="35" spans="1:9" x14ac:dyDescent="0.25">
      <c r="A35" s="2"/>
      <c r="B35" s="85" t="s">
        <v>86</v>
      </c>
      <c r="C35" s="86"/>
      <c r="D35" s="86"/>
      <c r="E35" s="86"/>
      <c r="F35" s="87"/>
      <c r="G35" s="21">
        <f>G33-G34</f>
        <v>582012.68666666665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89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90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91</v>
      </c>
      <c r="C9" s="83"/>
      <c r="D9" s="83"/>
      <c r="E9" s="83"/>
      <c r="F9" s="84"/>
      <c r="G9" s="18">
        <v>61532200.940776579</v>
      </c>
      <c r="H9" s="28" t="s">
        <v>4</v>
      </c>
      <c r="I9" s="2"/>
    </row>
    <row r="10" spans="1:9" x14ac:dyDescent="0.25">
      <c r="A10" s="2"/>
      <c r="B10" s="85" t="s">
        <v>92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31970053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93</v>
      </c>
      <c r="C12" s="76"/>
      <c r="D12" s="77"/>
      <c r="E12" s="12">
        <v>3479114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94</v>
      </c>
      <c r="C13" s="76"/>
      <c r="D13" s="77"/>
      <c r="E13" s="12">
        <v>-67573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95</v>
      </c>
      <c r="C14" s="76"/>
      <c r="D14" s="77"/>
      <c r="E14" s="12">
        <v>630000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36011594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2047498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2047498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-39003463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-526000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-39529463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-1470371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96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96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26411352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1120300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27531652</v>
      </c>
      <c r="F35" s="28" t="s">
        <v>4</v>
      </c>
      <c r="G35" s="18">
        <f>-E35</f>
        <v>-27531652</v>
      </c>
      <c r="H35" s="28" t="s">
        <v>4</v>
      </c>
      <c r="I35" s="2"/>
    </row>
    <row r="36" spans="1:9" x14ac:dyDescent="0.25">
      <c r="A36" s="2"/>
      <c r="B36" s="85" t="s">
        <v>97</v>
      </c>
      <c r="C36" s="86"/>
      <c r="D36" s="86"/>
      <c r="E36" s="86"/>
      <c r="F36" s="87"/>
      <c r="G36" s="21">
        <f>$G$9+$G$28+$G$30+$G$35</f>
        <v>34000548.940776579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126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181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116</v>
      </c>
      <c r="C9" s="80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5" t="s">
        <v>182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133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145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177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194</v>
      </c>
      <c r="C16" s="79"/>
      <c r="D16" s="79"/>
      <c r="E16" s="80"/>
      <c r="F16" s="100" t="s">
        <v>178</v>
      </c>
      <c r="G16" s="100"/>
      <c r="H16" s="2"/>
    </row>
    <row r="17" spans="1:8" x14ac:dyDescent="0.25">
      <c r="A17" s="2"/>
      <c r="B17" s="75" t="s">
        <v>190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179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180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118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119</v>
      </c>
      <c r="C9" s="35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8" t="s">
        <v>189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128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144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109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77212815.824223071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25594726.771221723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121</v>
      </c>
      <c r="C11" s="76"/>
      <c r="D11" s="77"/>
      <c r="E11" s="12">
        <f>'Fane 4. Ikke-påvirkelige omk.'!G20</f>
        <v>-11012989.293674501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192</v>
      </c>
      <c r="C12" s="38"/>
      <c r="D12" s="39"/>
      <c r="E12" s="12">
        <f>'Fane 5. Individuelt eff.krav'!G10</f>
        <v>-969827.26157193899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173</v>
      </c>
      <c r="C13" s="88"/>
      <c r="D13" s="89"/>
      <c r="E13" s="12">
        <f>'Fane 3. Korrigeret grundlag'!G22</f>
        <v>911634.19000000006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129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130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177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131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132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123</v>
      </c>
      <c r="C20" s="76"/>
      <c r="D20" s="77"/>
      <c r="E20" s="12">
        <f>SUM(E9,E11:E18)*(E19/100)</f>
        <v>1157478.5855320911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111264.196211114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964023.50704617274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183</v>
      </c>
      <c r="C23" s="83"/>
      <c r="D23" s="84"/>
      <c r="E23" s="18">
        <f>SUM(E9,E11:E18,E20)-SUM(E21:E22)</f>
        <v>66223824.34125144</v>
      </c>
      <c r="F23" s="19" t="s">
        <v>4</v>
      </c>
      <c r="G23" s="18">
        <f>E23</f>
        <v>66223824.34125144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-3731099.792768959</v>
      </c>
      <c r="F25" s="19" t="s">
        <v>4</v>
      </c>
      <c r="G25" s="18">
        <f>E25</f>
        <v>-3731099.792768959</v>
      </c>
      <c r="H25" s="19" t="s">
        <v>4</v>
      </c>
      <c r="I25" s="2"/>
    </row>
    <row r="26" spans="1:9" x14ac:dyDescent="0.25">
      <c r="A26" s="2"/>
      <c r="B26" s="85" t="s">
        <v>98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105</v>
      </c>
      <c r="C27" s="73"/>
      <c r="D27" s="74"/>
      <c r="E27" s="12">
        <f>'Fane 9. Korrektion af PL2016'!G11</f>
        <v>-5678576.8399999999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99</v>
      </c>
      <c r="C28" s="73"/>
      <c r="D28" s="74"/>
      <c r="E28" s="12">
        <f>'Fane 9. Korrektion af PL2016'!G17</f>
        <v>110479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100</v>
      </c>
      <c r="C29" s="73"/>
      <c r="D29" s="74"/>
      <c r="E29" s="12">
        <f>'Fane 9. Korrektion af PL2016'!G23</f>
        <v>-177616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101</v>
      </c>
      <c r="C30" s="73"/>
      <c r="D30" s="74"/>
      <c r="E30" s="12">
        <f>'Fane 9. Korrektion af PL2016'!G29</f>
        <v>-310909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102</v>
      </c>
      <c r="C31" s="73"/>
      <c r="D31" s="74"/>
      <c r="E31" s="12">
        <f>'Fane 9. Korrektion af PL2016'!G35</f>
        <v>582012.68666666665</v>
      </c>
      <c r="F31" s="9" t="s">
        <v>4</v>
      </c>
      <c r="G31" s="15"/>
      <c r="H31" s="14"/>
      <c r="I31" s="2"/>
    </row>
    <row r="32" spans="1:9" x14ac:dyDescent="0.25">
      <c r="A32" s="2"/>
      <c r="B32" s="78" t="s">
        <v>103</v>
      </c>
      <c r="C32" s="79"/>
      <c r="D32" s="80"/>
      <c r="E32" s="18">
        <f>SUM(E27:E31)</f>
        <v>-5474610.1533333333</v>
      </c>
      <c r="F32" s="19" t="s">
        <v>4</v>
      </c>
      <c r="G32" s="18">
        <f>E32</f>
        <v>-5474610.1533333333</v>
      </c>
      <c r="H32" s="19" t="s">
        <v>4</v>
      </c>
      <c r="I32" s="2"/>
    </row>
    <row r="33" spans="1:9" x14ac:dyDescent="0.25">
      <c r="A33" s="2"/>
      <c r="B33" s="85" t="s">
        <v>18</v>
      </c>
      <c r="C33" s="86"/>
      <c r="D33" s="86"/>
      <c r="E33" s="86"/>
      <c r="F33" s="86"/>
      <c r="G33" s="86"/>
      <c r="H33" s="87"/>
      <c r="I33" s="2"/>
    </row>
    <row r="34" spans="1:9" x14ac:dyDescent="0.25">
      <c r="A34" s="2"/>
      <c r="B34" s="78" t="s">
        <v>104</v>
      </c>
      <c r="C34" s="79"/>
      <c r="D34" s="80"/>
      <c r="E34" s="18">
        <f>'Fane 10. Kontrol af PL2016'!G36</f>
        <v>34000548.940776579</v>
      </c>
      <c r="F34" s="19" t="s">
        <v>4</v>
      </c>
      <c r="G34" s="18">
        <f>E34</f>
        <v>34000548.940776579</v>
      </c>
      <c r="H34" s="19" t="s">
        <v>4</v>
      </c>
      <c r="I34" s="2"/>
    </row>
    <row r="35" spans="1:9" x14ac:dyDescent="0.25">
      <c r="A35" s="2"/>
      <c r="B35" s="85" t="s">
        <v>62</v>
      </c>
      <c r="C35" s="86"/>
      <c r="D35" s="86"/>
      <c r="E35" s="86"/>
      <c r="F35" s="87"/>
      <c r="G35" s="21">
        <f>G23+G25+G32+G34</f>
        <v>91018663.335925728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108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106</v>
      </c>
      <c r="C9" s="73"/>
      <c r="D9" s="74"/>
      <c r="E9" s="8">
        <f>'Fane 2.1. Økonomisk ramme 2018'!G23-'Fane 2.1. Økonomisk ramme 2018'!E13*(1+0.0175)*(1-0.02-'Fane 5. Individuelt eff.krav'!G11/100)</f>
        <v>65316755.578864031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14836917.8834043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173</v>
      </c>
      <c r="C11" s="40"/>
      <c r="D11" s="41"/>
      <c r="E11" s="12">
        <v>266434.35826423572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1147705.8238997448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109508.42827149518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968368.9340554995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183</v>
      </c>
      <c r="C15" s="83"/>
      <c r="D15" s="84"/>
      <c r="E15" s="18">
        <f>$E$9+$E$12-$E$13-$E$14+E11</f>
        <v>65653018.39870102</v>
      </c>
      <c r="F15" s="19" t="s">
        <v>4</v>
      </c>
      <c r="G15" s="18">
        <f>E15</f>
        <v>65653018.39870102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-3731099.792768959</v>
      </c>
      <c r="F17" s="19" t="s">
        <v>4</v>
      </c>
      <c r="G17" s="18">
        <f>E17</f>
        <v>-3731099.792768959</v>
      </c>
      <c r="H17" s="19" t="s">
        <v>4</v>
      </c>
      <c r="I17" s="2"/>
    </row>
    <row r="18" spans="1:9" x14ac:dyDescent="0.25">
      <c r="A18" s="2"/>
      <c r="B18" s="85" t="s">
        <v>107</v>
      </c>
      <c r="C18" s="86"/>
      <c r="D18" s="86"/>
      <c r="E18" s="86"/>
      <c r="F18" s="87"/>
      <c r="G18" s="21">
        <f>G15+G17</f>
        <v>61921918.605932057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139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141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110</v>
      </c>
      <c r="C9" s="76"/>
      <c r="D9" s="76"/>
      <c r="E9" s="76"/>
      <c r="F9" s="77"/>
      <c r="G9" s="12">
        <v>11613843.620315123</v>
      </c>
      <c r="H9" s="23" t="s">
        <v>4</v>
      </c>
      <c r="I9" s="2"/>
    </row>
    <row r="10" spans="1:9" x14ac:dyDescent="0.25">
      <c r="A10" s="2"/>
      <c r="B10" s="75" t="s">
        <v>111</v>
      </c>
      <c r="C10" s="76"/>
      <c r="D10" s="76"/>
      <c r="E10" s="76"/>
      <c r="F10" s="77"/>
      <c r="G10" s="12">
        <v>40004245.432686225</v>
      </c>
      <c r="H10" s="23" t="s">
        <v>4</v>
      </c>
      <c r="I10" s="2"/>
    </row>
    <row r="11" spans="1:9" x14ac:dyDescent="0.25">
      <c r="A11" s="2"/>
      <c r="B11" s="75" t="s">
        <v>138</v>
      </c>
      <c r="C11" s="76"/>
      <c r="D11" s="76"/>
      <c r="E11" s="76"/>
      <c r="F11" s="77"/>
      <c r="G11" s="12">
        <v>25594726.771221723</v>
      </c>
      <c r="H11" s="23" t="s">
        <v>4</v>
      </c>
      <c r="I11" s="2"/>
    </row>
    <row r="12" spans="1:9" ht="17.25" customHeight="1" x14ac:dyDescent="0.25">
      <c r="A12" s="2"/>
      <c r="B12" s="91" t="s">
        <v>143</v>
      </c>
      <c r="C12" s="92"/>
      <c r="D12" s="92"/>
      <c r="E12" s="92"/>
      <c r="F12" s="93"/>
      <c r="G12" s="21">
        <f>SUM(G9:G11)</f>
        <v>77212815.824223071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173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174</v>
      </c>
      <c r="C20" s="76"/>
      <c r="D20" s="76"/>
      <c r="E20" s="76"/>
      <c r="F20" s="77"/>
      <c r="G20" s="12">
        <v>196873</v>
      </c>
      <c r="H20" s="23" t="s">
        <v>4</v>
      </c>
      <c r="I20" s="2"/>
    </row>
    <row r="21" spans="1:9" x14ac:dyDescent="0.25">
      <c r="A21" s="2"/>
      <c r="B21" s="75" t="s">
        <v>175</v>
      </c>
      <c r="C21" s="76"/>
      <c r="D21" s="76"/>
      <c r="E21" s="76"/>
      <c r="F21" s="77"/>
      <c r="G21" s="12">
        <v>714761.19000000006</v>
      </c>
      <c r="H21" s="23" t="s">
        <v>4</v>
      </c>
      <c r="I21" s="2"/>
    </row>
    <row r="22" spans="1:9" x14ac:dyDescent="0.25">
      <c r="A22" s="2"/>
      <c r="B22" s="91" t="s">
        <v>176</v>
      </c>
      <c r="C22" s="92"/>
      <c r="D22" s="92"/>
      <c r="E22" s="92"/>
      <c r="F22" s="93"/>
      <c r="G22" s="21">
        <f>SUM(G20:G21)</f>
        <v>911634.19000000006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113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115</v>
      </c>
      <c r="C9" s="79"/>
      <c r="D9" s="8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5" t="s">
        <v>164</v>
      </c>
      <c r="C10" s="76"/>
      <c r="D10" s="76"/>
      <c r="E10" s="102">
        <v>103054.8976</v>
      </c>
      <c r="F10" s="23" t="s">
        <v>4</v>
      </c>
      <c r="G10" s="12">
        <v>104787</v>
      </c>
      <c r="H10" s="23" t="s">
        <v>4</v>
      </c>
      <c r="I10" s="2"/>
    </row>
    <row r="11" spans="1:9" x14ac:dyDescent="0.25">
      <c r="A11" s="2"/>
      <c r="B11" s="75" t="s">
        <v>165</v>
      </c>
      <c r="C11" s="76"/>
      <c r="D11" s="76"/>
      <c r="E11" s="102">
        <v>17823.014199999998</v>
      </c>
      <c r="F11" s="23" t="s">
        <v>4</v>
      </c>
      <c r="G11" s="12">
        <v>17891</v>
      </c>
      <c r="H11" s="23" t="s">
        <v>4</v>
      </c>
      <c r="I11" s="2"/>
    </row>
    <row r="12" spans="1:9" x14ac:dyDescent="0.25">
      <c r="A12" s="2"/>
      <c r="B12" s="75" t="s">
        <v>166</v>
      </c>
      <c r="C12" s="76"/>
      <c r="D12" s="76"/>
      <c r="E12" s="102">
        <v>7189753.7198000001</v>
      </c>
      <c r="F12" s="23" t="s">
        <v>4</v>
      </c>
      <c r="G12" s="12">
        <v>1000000</v>
      </c>
      <c r="H12" s="23" t="s">
        <v>4</v>
      </c>
      <c r="I12" s="2"/>
    </row>
    <row r="13" spans="1:9" x14ac:dyDescent="0.25">
      <c r="A13" s="2"/>
      <c r="B13" s="75" t="s">
        <v>167</v>
      </c>
      <c r="C13" s="76"/>
      <c r="D13" s="76"/>
      <c r="E13" s="102">
        <v>32398.416399999998</v>
      </c>
      <c r="F13" s="23" t="s">
        <v>4</v>
      </c>
      <c r="G13" s="12">
        <v>59498.16</v>
      </c>
      <c r="H13" s="23" t="s">
        <v>4</v>
      </c>
      <c r="I13" s="2"/>
    </row>
    <row r="14" spans="1:9" x14ac:dyDescent="0.25">
      <c r="A14" s="2"/>
      <c r="B14" s="75" t="s">
        <v>168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169</v>
      </c>
      <c r="C15" s="76"/>
      <c r="D15" s="76"/>
      <c r="E15" s="102">
        <v>193980.06399999998</v>
      </c>
      <c r="F15" s="23" t="s">
        <v>4</v>
      </c>
      <c r="G15" s="12">
        <v>184853</v>
      </c>
      <c r="H15" s="23" t="s">
        <v>4</v>
      </c>
      <c r="I15" s="2"/>
    </row>
    <row r="16" spans="1:9" x14ac:dyDescent="0.25">
      <c r="A16" s="2"/>
      <c r="B16" s="75" t="s">
        <v>170</v>
      </c>
      <c r="C16" s="76"/>
      <c r="D16" s="76"/>
      <c r="E16" s="102">
        <v>17427011.749400001</v>
      </c>
      <c r="F16" s="23" t="s">
        <v>4</v>
      </c>
      <c r="G16" s="12">
        <v>13083144</v>
      </c>
      <c r="H16" s="23" t="s">
        <v>4</v>
      </c>
      <c r="I16" s="2"/>
    </row>
    <row r="17" spans="1:9" x14ac:dyDescent="0.25">
      <c r="A17" s="2"/>
      <c r="B17" s="75" t="s">
        <v>171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ht="30.75" customHeight="1" x14ac:dyDescent="0.25">
      <c r="A18" s="2"/>
      <c r="B18" s="103" t="s">
        <v>172</v>
      </c>
      <c r="C18" s="103"/>
      <c r="D18" s="103"/>
      <c r="E18" s="102">
        <v>309728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5" t="s">
        <v>134</v>
      </c>
      <c r="C19" s="86"/>
      <c r="D19" s="86"/>
      <c r="E19" s="86"/>
      <c r="F19" s="87"/>
      <c r="G19" s="21">
        <f>SUM(G10:G18)-SUM(E10:E18)</f>
        <v>-10823576.701400001</v>
      </c>
      <c r="H19" s="22" t="s">
        <v>4</v>
      </c>
      <c r="I19" s="2"/>
    </row>
    <row r="20" spans="1:9" x14ac:dyDescent="0.25">
      <c r="A20" s="2"/>
      <c r="B20" s="85" t="s">
        <v>135</v>
      </c>
      <c r="C20" s="86"/>
      <c r="D20" s="86"/>
      <c r="E20" s="86"/>
      <c r="F20" s="87"/>
      <c r="G20" s="21">
        <f>G19*(1+'Fane 2.1. Økonomisk ramme 2018'!E19/100)</f>
        <v>-11012989.293674501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52529723.243001342</v>
      </c>
      <c r="H9" s="23" t="s">
        <v>4</v>
      </c>
      <c r="I9" s="2"/>
    </row>
    <row r="10" spans="1:9" x14ac:dyDescent="0.25">
      <c r="A10" s="2"/>
      <c r="B10" s="42" t="s">
        <v>192</v>
      </c>
      <c r="C10" s="38"/>
      <c r="D10" s="38"/>
      <c r="E10" s="38"/>
      <c r="F10" s="39"/>
      <c r="G10" s="12">
        <v>-969827.26157193899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0.21208452675356362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111264.196211114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12525477.810315123</v>
      </c>
      <c r="H9" s="23" t="s">
        <v>4</v>
      </c>
      <c r="I9" s="2"/>
    </row>
    <row r="10" spans="1:9" x14ac:dyDescent="0.25">
      <c r="A10" s="2"/>
      <c r="B10" s="43" t="s">
        <v>191</v>
      </c>
      <c r="C10" s="44"/>
      <c r="D10" s="44"/>
      <c r="E10" s="44"/>
      <c r="F10" s="45"/>
      <c r="G10" s="12">
        <v>-239652.94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250016.5361109128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40004245.432686225</v>
      </c>
      <c r="H13" s="23" t="s">
        <v>4</v>
      </c>
      <c r="I13" s="2"/>
    </row>
    <row r="14" spans="1:9" x14ac:dyDescent="0.25">
      <c r="A14" s="2"/>
      <c r="B14" s="42" t="s">
        <v>193</v>
      </c>
      <c r="C14" s="38"/>
      <c r="D14" s="38"/>
      <c r="E14" s="38"/>
      <c r="F14" s="39"/>
      <c r="G14" s="12">
        <v>-358666.18060000002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714006.97093525995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964023.50704617274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-36656080</v>
      </c>
      <c r="H9" s="23" t="s">
        <v>4</v>
      </c>
      <c r="I9" s="2"/>
    </row>
    <row r="10" spans="1:9" x14ac:dyDescent="0.25">
      <c r="A10" s="2"/>
      <c r="B10" s="75" t="s">
        <v>120</v>
      </c>
      <c r="C10" s="76"/>
      <c r="D10" s="76"/>
      <c r="E10" s="76"/>
      <c r="F10" s="77"/>
      <c r="G10" s="12">
        <v>-25462780.621693123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-11193299.378306877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125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-3731099.792768959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146</v>
      </c>
      <c r="C10" s="30">
        <v>2016</v>
      </c>
      <c r="D10" s="30">
        <v>50</v>
      </c>
      <c r="E10" s="12">
        <v>2300474</v>
      </c>
      <c r="F10" s="12">
        <f>E10/D10</f>
        <v>46009.48</v>
      </c>
      <c r="G10" s="23" t="s">
        <v>4</v>
      </c>
      <c r="H10" s="2"/>
    </row>
    <row r="11" spans="1:8" ht="26.25" x14ac:dyDescent="0.25">
      <c r="A11" s="2"/>
      <c r="B11" s="104" t="s">
        <v>147</v>
      </c>
      <c r="C11" s="30">
        <v>2016</v>
      </c>
      <c r="D11" s="30">
        <v>50</v>
      </c>
      <c r="E11" s="12">
        <v>688576</v>
      </c>
      <c r="F11" s="12">
        <f t="shared" ref="F11:F27" si="0">E11/D11</f>
        <v>13771.52</v>
      </c>
      <c r="G11" s="23" t="s">
        <v>4</v>
      </c>
      <c r="H11" s="2"/>
    </row>
    <row r="12" spans="1:8" ht="26.25" x14ac:dyDescent="0.25">
      <c r="A12" s="2"/>
      <c r="B12" s="104" t="s">
        <v>148</v>
      </c>
      <c r="C12" s="30">
        <v>2016</v>
      </c>
      <c r="D12" s="30">
        <v>50</v>
      </c>
      <c r="E12" s="12">
        <v>424776</v>
      </c>
      <c r="F12" s="12">
        <f t="shared" si="0"/>
        <v>8495.52</v>
      </c>
      <c r="G12" s="23" t="s">
        <v>4</v>
      </c>
      <c r="H12" s="2"/>
    </row>
    <row r="13" spans="1:8" ht="26.25" x14ac:dyDescent="0.25">
      <c r="A13" s="2"/>
      <c r="B13" s="104" t="s">
        <v>149</v>
      </c>
      <c r="C13" s="30">
        <v>2016</v>
      </c>
      <c r="D13" s="30">
        <v>50</v>
      </c>
      <c r="E13" s="12">
        <v>970362</v>
      </c>
      <c r="F13" s="12">
        <f t="shared" si="0"/>
        <v>19407.240000000002</v>
      </c>
      <c r="G13" s="23" t="s">
        <v>4</v>
      </c>
      <c r="H13" s="2"/>
    </row>
    <row r="14" spans="1:8" x14ac:dyDescent="0.25">
      <c r="A14" s="2"/>
      <c r="B14" s="104" t="s">
        <v>150</v>
      </c>
      <c r="C14" s="30">
        <v>2016</v>
      </c>
      <c r="D14" s="30">
        <v>75</v>
      </c>
      <c r="E14" s="12">
        <v>2391450</v>
      </c>
      <c r="F14" s="12">
        <f t="shared" si="0"/>
        <v>31886</v>
      </c>
      <c r="G14" s="23" t="s">
        <v>4</v>
      </c>
      <c r="H14" s="2"/>
    </row>
    <row r="15" spans="1:8" x14ac:dyDescent="0.25">
      <c r="A15" s="2"/>
      <c r="B15" s="104" t="s">
        <v>151</v>
      </c>
      <c r="C15" s="30">
        <v>2016</v>
      </c>
      <c r="D15" s="30">
        <v>75</v>
      </c>
      <c r="E15" s="12">
        <v>697733</v>
      </c>
      <c r="F15" s="12">
        <f t="shared" si="0"/>
        <v>9303.1066666666666</v>
      </c>
      <c r="G15" s="23" t="s">
        <v>4</v>
      </c>
      <c r="H15" s="2"/>
    </row>
    <row r="16" spans="1:8" x14ac:dyDescent="0.25">
      <c r="A16" s="2"/>
      <c r="B16" s="104" t="s">
        <v>152</v>
      </c>
      <c r="C16" s="30">
        <v>2016</v>
      </c>
      <c r="D16" s="30">
        <v>75</v>
      </c>
      <c r="E16" s="12">
        <v>2209115</v>
      </c>
      <c r="F16" s="12">
        <f t="shared" si="0"/>
        <v>29454.866666666665</v>
      </c>
      <c r="G16" s="23" t="s">
        <v>4</v>
      </c>
      <c r="H16" s="2"/>
    </row>
    <row r="17" spans="1:8" x14ac:dyDescent="0.25">
      <c r="A17" s="2"/>
      <c r="B17" s="104" t="s">
        <v>153</v>
      </c>
      <c r="C17" s="30">
        <v>2016</v>
      </c>
      <c r="D17" s="30">
        <v>75</v>
      </c>
      <c r="E17" s="12">
        <v>5159072</v>
      </c>
      <c r="F17" s="12">
        <f t="shared" si="0"/>
        <v>68787.626666666663</v>
      </c>
      <c r="G17" s="23" t="s">
        <v>4</v>
      </c>
      <c r="H17" s="2"/>
    </row>
    <row r="18" spans="1:8" x14ac:dyDescent="0.25">
      <c r="A18" s="2"/>
      <c r="B18" s="104" t="s">
        <v>154</v>
      </c>
      <c r="C18" s="30">
        <v>2016</v>
      </c>
      <c r="D18" s="30">
        <v>75</v>
      </c>
      <c r="E18" s="12">
        <v>512734</v>
      </c>
      <c r="F18" s="12">
        <f t="shared" si="0"/>
        <v>6836.4533333333329</v>
      </c>
      <c r="G18" s="23" t="s">
        <v>4</v>
      </c>
      <c r="H18" s="2"/>
    </row>
    <row r="19" spans="1:8" ht="26.25" x14ac:dyDescent="0.25">
      <c r="A19" s="2"/>
      <c r="B19" s="104" t="s">
        <v>155</v>
      </c>
      <c r="C19" s="30">
        <v>2016</v>
      </c>
      <c r="D19" s="30">
        <v>50</v>
      </c>
      <c r="E19" s="12">
        <v>997287</v>
      </c>
      <c r="F19" s="12">
        <f t="shared" si="0"/>
        <v>19945.740000000002</v>
      </c>
      <c r="G19" s="23" t="s">
        <v>4</v>
      </c>
      <c r="H19" s="2"/>
    </row>
    <row r="20" spans="1:8" x14ac:dyDescent="0.25">
      <c r="A20" s="2"/>
      <c r="B20" s="104" t="s">
        <v>156</v>
      </c>
      <c r="C20" s="30">
        <v>2016</v>
      </c>
      <c r="D20" s="30">
        <v>20</v>
      </c>
      <c r="E20" s="12">
        <v>38076</v>
      </c>
      <c r="F20" s="12">
        <f t="shared" si="0"/>
        <v>1903.8</v>
      </c>
      <c r="G20" s="23" t="s">
        <v>4</v>
      </c>
      <c r="H20" s="2"/>
    </row>
    <row r="21" spans="1:8" x14ac:dyDescent="0.25">
      <c r="A21" s="2"/>
      <c r="B21" s="104" t="s">
        <v>157</v>
      </c>
      <c r="C21" s="30">
        <v>2016</v>
      </c>
      <c r="D21" s="30">
        <v>50</v>
      </c>
      <c r="E21" s="12">
        <v>20157940</v>
      </c>
      <c r="F21" s="12">
        <f t="shared" si="0"/>
        <v>403158.8</v>
      </c>
      <c r="G21" s="23" t="s">
        <v>4</v>
      </c>
      <c r="H21" s="2"/>
    </row>
    <row r="22" spans="1:8" ht="26.25" x14ac:dyDescent="0.25">
      <c r="A22" s="2"/>
      <c r="B22" s="104" t="s">
        <v>158</v>
      </c>
      <c r="C22" s="30">
        <v>2016</v>
      </c>
      <c r="D22" s="30">
        <v>75</v>
      </c>
      <c r="E22" s="12">
        <v>747965</v>
      </c>
      <c r="F22" s="12">
        <f t="shared" si="0"/>
        <v>9972.8666666666668</v>
      </c>
      <c r="G22" s="23" t="s">
        <v>4</v>
      </c>
      <c r="H22" s="2"/>
    </row>
    <row r="23" spans="1:8" ht="26.25" x14ac:dyDescent="0.25">
      <c r="A23" s="2"/>
      <c r="B23" s="104" t="s">
        <v>159</v>
      </c>
      <c r="C23" s="30">
        <v>2016</v>
      </c>
      <c r="D23" s="30">
        <v>10</v>
      </c>
      <c r="E23" s="12">
        <v>398915</v>
      </c>
      <c r="F23" s="12">
        <f t="shared" si="0"/>
        <v>39891.5</v>
      </c>
      <c r="G23" s="23" t="s">
        <v>4</v>
      </c>
      <c r="H23" s="2"/>
    </row>
    <row r="24" spans="1:8" x14ac:dyDescent="0.25">
      <c r="A24" s="2"/>
      <c r="B24" s="104" t="s">
        <v>160</v>
      </c>
      <c r="C24" s="30">
        <v>2016</v>
      </c>
      <c r="D24" s="30">
        <v>5</v>
      </c>
      <c r="E24" s="12">
        <v>55441</v>
      </c>
      <c r="F24" s="12">
        <f t="shared" si="0"/>
        <v>11088.2</v>
      </c>
      <c r="G24" s="23" t="s">
        <v>4</v>
      </c>
      <c r="H24" s="2"/>
    </row>
    <row r="25" spans="1:8" x14ac:dyDescent="0.25">
      <c r="A25" s="2"/>
      <c r="B25" s="104" t="s">
        <v>161</v>
      </c>
      <c r="C25" s="30">
        <v>2016</v>
      </c>
      <c r="D25" s="30">
        <v>5</v>
      </c>
      <c r="E25" s="12">
        <v>391785</v>
      </c>
      <c r="F25" s="12">
        <f t="shared" si="0"/>
        <v>78357</v>
      </c>
      <c r="G25" s="23" t="s">
        <v>4</v>
      </c>
      <c r="H25" s="2"/>
    </row>
    <row r="26" spans="1:8" x14ac:dyDescent="0.25">
      <c r="A26" s="2"/>
      <c r="B26" s="104" t="s">
        <v>162</v>
      </c>
      <c r="C26" s="30">
        <v>2016</v>
      </c>
      <c r="D26" s="30">
        <v>10</v>
      </c>
      <c r="E26" s="12">
        <v>296513</v>
      </c>
      <c r="F26" s="12">
        <f t="shared" si="0"/>
        <v>29651.3</v>
      </c>
      <c r="G26" s="23" t="s">
        <v>4</v>
      </c>
      <c r="H26" s="2"/>
    </row>
    <row r="27" spans="1:8" x14ac:dyDescent="0.25">
      <c r="A27" s="2"/>
      <c r="B27" s="104" t="s">
        <v>163</v>
      </c>
      <c r="C27" s="30">
        <v>2016</v>
      </c>
      <c r="D27" s="30">
        <v>10</v>
      </c>
      <c r="E27" s="12">
        <v>74250</v>
      </c>
      <c r="F27" s="12">
        <f t="shared" si="0"/>
        <v>7425</v>
      </c>
      <c r="G27" s="23" t="s">
        <v>4</v>
      </c>
      <c r="H27" s="2"/>
    </row>
    <row r="28" spans="1:8" x14ac:dyDescent="0.25">
      <c r="A28" s="2"/>
      <c r="B28" s="85" t="s">
        <v>76</v>
      </c>
      <c r="C28" s="86"/>
      <c r="D28" s="86"/>
      <c r="E28" s="87"/>
      <c r="F28" s="21">
        <f>SUM(F10:F27)</f>
        <v>835346.02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2018-08-10T12:16:40Z</dcterms:modified>
</cp:coreProperties>
</file>