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N4" i="16" l="1"/>
  <c r="O4" i="16"/>
  <c r="V3" i="16" l="1"/>
  <c r="U3" i="16"/>
  <c r="F3" i="17"/>
  <c r="G3" i="17"/>
  <c r="I4" i="16" l="1"/>
  <c r="J4" i="16"/>
  <c r="K4" i="16"/>
  <c r="L4" i="16"/>
  <c r="S3" i="16" s="1"/>
  <c r="M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O5" i="16"/>
  <c r="N6" i="16"/>
  <c r="O6" i="16"/>
  <c r="N5" i="16"/>
  <c r="G5" i="17"/>
  <c r="F4" i="17"/>
  <c r="E5" i="17"/>
  <c r="G4" i="17"/>
  <c r="E4" i="17"/>
  <c r="F5" i="17"/>
  <c r="L5" i="16"/>
  <c r="M5" i="16"/>
  <c r="T3" i="16" s="1"/>
  <c r="I5" i="16"/>
  <c r="J5" i="16"/>
  <c r="Q3" i="16" s="1"/>
  <c r="K5" i="16"/>
  <c r="R3" i="16" s="1"/>
  <c r="J3" i="24"/>
  <c r="M6" i="16"/>
  <c r="K6" i="16"/>
  <c r="I6" i="16"/>
  <c r="L6" i="16"/>
  <c r="J6" i="16"/>
  <c r="M3" i="24" l="1"/>
  <c r="B9" i="12" s="1"/>
  <c r="B10" i="12" s="1"/>
  <c r="P3" i="16"/>
  <c r="H3" i="17"/>
  <c r="B4" i="12" s="1"/>
  <c r="I2" i="15"/>
  <c r="K2" i="15" s="1"/>
  <c r="B2" i="12" s="1"/>
  <c r="W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<sst xmlns="http://schemas.openxmlformats.org/spreadsheetml/2006/main" count="131" uniqueCount="84">
  <si>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</si>
  <si>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</si>
  <si>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</si>
  <si>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</si>
  <si>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</si>
  <si>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</si>
  <si>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</si>
  <si>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</si>
  <si>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</si>
  <si>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</si>
  <si>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</si>
  <si>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</si>
  <si>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</si>
  <si>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</si>
  <si>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</si>
  <si>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</si>
  <si>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</si>
  <si>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</si>
  <si>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</si>
  <si>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</si>
  <si>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</si>
  <si>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</si>
  <si>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</si>
  <si>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Beredskabsplan</t>
  </si>
  <si>
    <t>Klimasikring af Selsmoseområde</t>
  </si>
  <si>
    <t xml:space="preserve">Oprensning og deponering af slam   </t>
  </si>
  <si>
    <t>Fejlkoblingsanalyser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</si>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</sst>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\(#,##0.00\);#,##0.00_)"/>
    <numFmt numFmtId="169" formatCode="#,##0_);\(#,##0\);0_);@"/>
    <numFmt numFmtId="170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69" fontId="26" fillId="0" borderId="0"/>
    <xf numFmtId="16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20" fillId="0" borderId="16" applyFill="0" applyAlignment="0" applyProtection="0"/>
    <xf numFmtId="166" fontId="20" fillId="0" borderId="16" applyFill="0" applyAlignment="0" applyProtection="0"/>
    <xf numFmtId="167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6" fillId="45" borderId="14" applyNumberFormat="0" applyFont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43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4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30" applyNumberFormat="1" applyFont="1"/>
    <xf numFmtId="164" fontId="0" fillId="0" borderId="0" xfId="27330" applyNumberFormat="1" applyFont="1" applyAlignment="1"/>
    <xf numFmtId="164" fontId="3" fillId="0" borderId="1" xfId="27330" applyNumberFormat="1" applyFont="1" applyBorder="1"/>
    <xf numFmtId="164" fontId="0" fillId="0" borderId="0" xfId="27330" applyNumberFormat="1" applyFont="1" applyBorder="1"/>
    <xf numFmtId="164" fontId="3" fillId="0" borderId="0" xfId="27330" applyNumberFormat="1" applyFont="1"/>
    <xf numFmtId="164" fontId="0" fillId="0" borderId="18" xfId="27330" applyNumberFormat="1" applyFont="1" applyBorder="1"/>
    <xf numFmtId="164" fontId="0" fillId="0" borderId="23" xfId="27330" applyNumberFormat="1" applyFont="1" applyFill="1" applyBorder="1"/>
    <xf numFmtId="164" fontId="0" fillId="0" borderId="0" xfId="27330" applyNumberFormat="1" applyFont="1" applyFill="1" applyBorder="1"/>
    <xf numFmtId="164" fontId="0" fillId="0" borderId="18" xfId="27330" applyNumberFormat="1" applyFont="1" applyFill="1" applyBorder="1"/>
    <xf numFmtId="164" fontId="3" fillId="0" borderId="0" xfId="27330" applyNumberFormat="1" applyFont="1" applyFill="1" applyBorder="1"/>
    <xf numFmtId="164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4" fontId="3" fillId="0" borderId="2" xfId="27330" applyNumberFormat="1" applyFont="1" applyBorder="1"/>
    <xf numFmtId="164" fontId="5" fillId="0" borderId="0" xfId="27330" applyNumberFormat="1" applyFont="1"/>
    <xf numFmtId="164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4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4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30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30" applyNumberFormat="1" applyFont="1" applyFill="1" applyAlignment="1">
      <alignment horizontal="left"/>
    </xf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4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4" fontId="0" fillId="0" borderId="0" xfId="27330" applyNumberFormat="1" applyFont="1" applyBorder="1" applyAlignment="1">
      <alignment wrapText="1"/>
    </xf>
    <xf numFmtId="164" fontId="3" fillId="0" borderId="21" xfId="0" applyNumberFormat="1" applyFont="1" applyFill="1" applyBorder="1" applyAlignment="1">
      <alignment horizontal="left"/>
    </xf>
    <xf numFmtId="164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11077166.382072175</v>
      </c>
      <c r="C2" t="s">
        <v>11</v>
      </c>
    </row>
    <row r="3" spans="1:3" s="2" customFormat="1" x14ac:dyDescent="0.25">
      <c r="A3" s="5" t="s">
        <v>8</v>
      </c>
      <c r="B3" s="36">
        <f>'Miljø- og servicemål'!W3</f>
        <v>343827.11030898616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90949.402533333327</v>
      </c>
      <c r="C4" t="s">
        <v>11</v>
      </c>
    </row>
    <row r="5" spans="1:3" s="26" customFormat="1" x14ac:dyDescent="0.25">
      <c r="A5" s="3" t="s">
        <v>12</v>
      </c>
      <c r="B5" s="48">
        <f>SUM(B2:B4)</f>
        <v>11511942.894914495</v>
      </c>
      <c r="C5" s="62" t="s">
        <v>11</v>
      </c>
    </row>
    <row r="6" spans="1:3" x14ac:dyDescent="0.25">
      <c r="A6" s="47" t="s">
        <v>0</v>
      </c>
      <c r="B6" s="38">
        <f>Investeringer!E3</f>
        <v>34805764.120499268</v>
      </c>
      <c r="C6" s="23" t="s">
        <v>11</v>
      </c>
    </row>
    <row r="7" spans="1:3" x14ac:dyDescent="0.25">
      <c r="A7" s="4" t="s">
        <v>1</v>
      </c>
      <c r="B7" s="35">
        <f>Investeringer!F3</f>
        <v>3993338.6520952769</v>
      </c>
      <c r="C7" t="s">
        <v>11</v>
      </c>
    </row>
    <row r="8" spans="1:3" x14ac:dyDescent="0.25">
      <c r="A8" s="4" t="s">
        <v>2</v>
      </c>
      <c r="B8" s="35">
        <f>Investeringer!G3</f>
        <v>838532.44328448107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15610</v>
      </c>
      <c r="C9" t="s">
        <v>11</v>
      </c>
    </row>
    <row r="10" spans="1:3" s="22" customFormat="1" x14ac:dyDescent="0.25">
      <c r="A10" s="3" t="s">
        <v>51</v>
      </c>
      <c r="B10" s="48">
        <f>SUM(B6:B9)</f>
        <v>39653245.215879023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25059247.739999998</v>
      </c>
      <c r="C11" t="s">
        <v>11</v>
      </c>
    </row>
    <row r="12" spans="1:3" s="22" customFormat="1" x14ac:dyDescent="0.25">
      <c r="A12" s="4" t="s">
        <v>55</v>
      </c>
      <c r="B12" s="35">
        <f>SUM(Medfinansiering!B:B)</f>
        <v>310909</v>
      </c>
      <c r="C12" s="22" t="s">
        <v>11</v>
      </c>
    </row>
    <row r="13" spans="1:3" s="22" customFormat="1" x14ac:dyDescent="0.25">
      <c r="A13" s="3" t="s">
        <v>76</v>
      </c>
      <c r="B13" s="48">
        <f>SUM(B11:B12)</f>
        <v>25370156.739999998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66</v>
      </c>
      <c r="B15" s="37">
        <f>SUM(B5,B10,B13)</f>
        <v>76535344.850793511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58</v>
      </c>
      <c r="B17" s="37">
        <f>B15*Pristalsregulering!C8*Pristalsregulering!C9</f>
        <v>77212815.824223071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67</v>
      </c>
      <c r="D1" s="59" t="s">
        <v>68</v>
      </c>
      <c r="E1" s="59" t="s">
        <v>59</v>
      </c>
      <c r="F1" s="52" t="s">
        <v>69</v>
      </c>
      <c r="G1" s="52" t="s">
        <v>77</v>
      </c>
      <c r="H1" s="52" t="s">
        <v>70</v>
      </c>
      <c r="I1" s="52" t="s">
        <v>52</v>
      </c>
      <c r="J1" s="11" t="s">
        <v>71</v>
      </c>
      <c r="K1" s="11" t="s">
        <v>72</v>
      </c>
    </row>
    <row r="2" spans="1:11" s="23" customFormat="1" ht="15.75" thickTop="1" x14ac:dyDescent="0.25">
      <c r="A2" s="28">
        <v>2015</v>
      </c>
      <c r="B2" s="49">
        <v>9576535.2599999998</v>
      </c>
      <c r="C2" s="49">
        <v>0</v>
      </c>
      <c r="D2" s="49">
        <f>B2+C2</f>
        <v>9576535.2599999998</v>
      </c>
      <c r="E2" s="50">
        <f>D2</f>
        <v>9576535.2599999998</v>
      </c>
      <c r="F2" s="49">
        <v>12077425.691849146</v>
      </c>
      <c r="G2" s="49">
        <v>195146</v>
      </c>
      <c r="H2" s="49">
        <f>F2-G2</f>
        <v>11882279.691849146</v>
      </c>
      <c r="I2" s="49">
        <f>AVERAGEIF(E2:E4,"&lt;&gt;0")</f>
        <v>9567635.7838599999</v>
      </c>
      <c r="J2" s="49">
        <v>11077166.382072175</v>
      </c>
      <c r="K2" s="39">
        <f>IF(H2&gt;I2,IF(I2&gt;J2,I2,J2),H2)</f>
        <v>11077166.382072175</v>
      </c>
    </row>
    <row r="3" spans="1:11" s="23" customFormat="1" x14ac:dyDescent="0.25">
      <c r="A3" s="28">
        <v>2014</v>
      </c>
      <c r="B3" s="49">
        <v>9182541</v>
      </c>
      <c r="C3" s="49"/>
      <c r="D3" s="49">
        <f t="shared" ref="D3:D4" si="0">B3+C3</f>
        <v>9182541</v>
      </c>
      <c r="E3" s="50">
        <f>D3*Pristalsregulering!C7</f>
        <v>9189887.0327999983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9781815</v>
      </c>
      <c r="C4" s="49"/>
      <c r="D4" s="49">
        <f t="shared" si="0"/>
        <v>9781815</v>
      </c>
      <c r="E4" s="50">
        <f>D4*Pristalsregulering!$C$6*Pristalsregulering!$C$7</f>
        <v>9936485.0587799996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8" width="30.7109375" style="22" customWidth="1"/>
    <col min="9" max="9" width="30.7109375" style="55" customWidth="1"/>
    <col min="10" max="13" width="30.7109375" customWidth="1"/>
    <col min="14" max="15" width="30.7109375" style="22" customWidth="1"/>
    <col min="16" max="16" width="30.7109375" style="55" customWidth="1"/>
    <col min="17" max="20" width="30.7109375" customWidth="1"/>
    <col min="21" max="22" width="30.7109375" style="22" customWidth="1"/>
    <col min="23" max="23" width="30.7109375" style="55" customWidth="1"/>
    <col min="24" max="24" width="9.140625" hidden="1" customWidth="1"/>
    <col min="25" max="32" width="0" hidden="1" customWidth="1"/>
    <col min="33" max="33" width="9.140625" hidden="1" customWidth="1"/>
    <col min="34" max="42" width="0" hidden="1" customWidth="1"/>
    <col min="43" max="43" width="9.140625" hidden="1" customWidth="1"/>
    <col min="44" max="51" width="0" hidden="1" customWidth="1"/>
    <col min="52" max="52" width="9.140625" hidden="1" customWidth="1"/>
    <col min="53" max="58" width="0" hidden="1" customWidth="1"/>
    <col min="59" max="59" width="9.140625" hidden="1" customWidth="1"/>
    <col min="60" max="60" width="0" hidden="1" customWidth="1"/>
    <col min="61" max="61" width="9.140625" hidden="1" customWidth="1"/>
    <col min="62" max="69" width="0" hidden="1" customWidth="1"/>
    <col min="70" max="70" width="9.140625" hidden="1" customWidth="1"/>
    <col min="71" max="76" width="0" hidden="1" customWidth="1"/>
    <col min="77" max="77" width="9.140625" hidden="1" customWidth="1"/>
    <col min="78" max="79" width="0" hidden="1" customWidth="1"/>
    <col min="80" max="80" width="9.140625" hidden="1" customWidth="1"/>
    <col min="81" max="85" width="0" hidden="1" customWidth="1"/>
    <col min="86" max="86" width="9.140625" hidden="1" customWidth="1"/>
    <col min="87" max="87" width="0" hidden="1" customWidth="1"/>
    <col min="88" max="88" width="9.140625" hidden="1" customWidth="1"/>
    <col min="89" max="96" width="0" hidden="1" customWidth="1"/>
    <col min="97" max="97" width="9.140625" hidden="1" customWidth="1"/>
    <col min="98" max="103" width="0" hidden="1" customWidth="1"/>
    <col min="104" max="104" width="9.140625" hidden="1" customWidth="1"/>
    <col min="105" max="106" width="0" hidden="1" customWidth="1"/>
    <col min="107" max="107" width="9.140625" hidden="1" customWidth="1"/>
    <col min="108" max="108" width="0" hidden="1" customWidth="1"/>
    <col min="109" max="109" width="9.140625" hidden="1" customWidth="1"/>
    <col min="110" max="111" width="0" hidden="1" customWidth="1"/>
    <col min="112" max="112" width="9.140625" hidden="1" customWidth="1"/>
    <col min="113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28" width="0" hidden="1" customWidth="1"/>
    <col min="129" max="129" width="9.140625" hidden="1" customWidth="1"/>
    <col min="130" max="135" width="0" hidden="1" customWidth="1"/>
    <col min="136" max="136" width="9.140625" hidden="1" customWidth="1"/>
    <col min="137" max="138" width="0" hidden="1" customWidth="1"/>
    <col min="139" max="139" width="9.140625" hidden="1" customWidth="1"/>
    <col min="140" max="147" width="0" hidden="1" customWidth="1"/>
    <col min="148" max="148" width="9.140625" hidden="1" customWidth="1"/>
    <col min="149" max="154" width="0" hidden="1" customWidth="1"/>
    <col min="155" max="155" width="9.140625" hidden="1" customWidth="1"/>
    <col min="156" max="157" width="0" hidden="1" customWidth="1"/>
    <col min="158" max="158" width="9.140625" hidden="1" customWidth="1"/>
    <col min="159" max="161" width="0" hidden="1" customWidth="1"/>
    <col min="162" max="162" width="9.140625" hidden="1" customWidth="1"/>
    <col min="163" max="164" width="0" hidden="1" customWidth="1"/>
    <col min="165" max="166" width="9.140625" hidden="1" customWidth="1"/>
    <col min="167" max="172" width="0" hidden="1" customWidth="1"/>
    <col min="173" max="173" width="9.140625" hidden="1" customWidth="1"/>
    <col min="174" max="175" width="0" hidden="1" customWidth="1"/>
    <col min="176" max="176" width="9.140625" hidden="1" customWidth="1"/>
    <col min="177" max="179" width="0" hidden="1" customWidth="1"/>
    <col min="180" max="180" width="9.140625" hidden="1" customWidth="1"/>
    <col min="181" max="182" width="0" hidden="1" customWidth="1"/>
    <col min="183" max="183" width="9.140625" hidden="1" customWidth="1"/>
    <col min="184" max="185" width="0" hidden="1" customWidth="1"/>
    <col min="186" max="186" width="9.140625" hidden="1" customWidth="1"/>
    <col min="187" max="188" width="0" hidden="1" customWidth="1"/>
    <col min="189" max="189" width="9.140625" hidden="1" customWidth="1"/>
    <col min="190" max="191" width="0" hidden="1" customWidth="1"/>
    <col min="192" max="193" width="9.140625" hidden="1" customWidth="1"/>
    <col min="194" max="199" width="0" hidden="1" customWidth="1"/>
    <col min="200" max="200" width="9.140625" hidden="1" customWidth="1"/>
    <col min="201" max="202" width="0" hidden="1" customWidth="1"/>
    <col min="203" max="203" width="9.140625" hidden="1" customWidth="1"/>
    <col min="204" max="206" width="0" hidden="1" customWidth="1"/>
    <col min="207" max="207" width="9.140625" hidden="1" customWidth="1"/>
    <col min="208" max="209" width="0" hidden="1" customWidth="1"/>
    <col min="210" max="210" width="9.140625" hidden="1" customWidth="1"/>
    <col min="211" max="212" width="0" hidden="1" customWidth="1"/>
    <col min="213" max="213" width="9.140625" hidden="1" customWidth="1"/>
    <col min="214" max="214" width="0" hidden="1" customWidth="1"/>
    <col min="215" max="215" width="9.140625" hidden="1" customWidth="1"/>
    <col min="216" max="217" width="0" hidden="1" customWidth="1"/>
    <col min="218" max="218" width="9.140625" hidden="1" customWidth="1"/>
    <col min="219" max="220" width="0" hidden="1" customWidth="1"/>
    <col min="221" max="221" width="9.140625" hidden="1" customWidth="1"/>
    <col min="222" max="223" width="0" hidden="1" customWidth="1"/>
    <col min="224" max="225" width="9.140625" hidden="1" customWidth="1"/>
    <col min="226" max="231" width="0" hidden="1" customWidth="1"/>
    <col min="232" max="232" width="9.140625" hidden="1" customWidth="1"/>
    <col min="233" max="234" width="0" hidden="1" customWidth="1"/>
    <col min="235" max="235" width="9.140625" hidden="1" customWidth="1"/>
    <col min="236" max="238" width="0" hidden="1" customWidth="1"/>
    <col min="239" max="239" width="9.140625" hidden="1" customWidth="1"/>
    <col min="240" max="241" width="0" hidden="1" customWidth="1"/>
    <col min="242" max="242" width="9.140625" hidden="1" customWidth="1"/>
    <col min="243" max="244" width="0" hidden="1" customWidth="1"/>
    <col min="245" max="245" width="9.140625" hidden="1" customWidth="1"/>
    <col min="246" max="250" width="0" hidden="1" customWidth="1"/>
    <col min="251" max="251" width="9.140625" hidden="1" customWidth="1"/>
    <col min="252" max="253" width="0" hidden="1" customWidth="1"/>
    <col min="254" max="254" width="9.140625" hidden="1" customWidth="1"/>
    <col min="255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3" width="0" hidden="1" customWidth="1"/>
    <col min="264" max="265" width="9.140625" hidden="1" customWidth="1"/>
    <col min="266" max="267" width="0" hidden="1" customWidth="1"/>
    <col min="268" max="268" width="9.140625" hidden="1" customWidth="1"/>
    <col min="269" max="270" width="0" hidden="1" customWidth="1"/>
    <col min="271" max="272" width="9.140625" hidden="1" customWidth="1"/>
    <col min="273" max="275" width="0" hidden="1" customWidth="1"/>
    <col min="276" max="276" width="9.140625" hidden="1" customWidth="1"/>
    <col min="277" max="278" width="0" hidden="1" customWidth="1"/>
    <col min="279" max="279" width="9.140625" hidden="1" customWidth="1"/>
    <col min="280" max="281" width="0" hidden="1" customWidth="1"/>
    <col min="282" max="283" width="9.140625" hidden="1" customWidth="1"/>
    <col min="284" max="285" width="0" hidden="1" customWidth="1"/>
    <col min="286" max="286" width="9.140625" hidden="1" customWidth="1"/>
    <col min="287" max="288" width="0" hidden="1" customWidth="1"/>
    <col min="289" max="289" width="9.140625" hidden="1" customWidth="1"/>
    <col min="290" max="291" width="0" hidden="1" customWidth="1"/>
    <col min="292" max="292" width="9.140625" hidden="1" customWidth="1"/>
    <col min="293" max="294" width="0" hidden="1" customWidth="1"/>
    <col min="295" max="295" width="9.140625" hidden="1" customWidth="1"/>
    <col min="296" max="297" width="0" hidden="1" customWidth="1"/>
    <col min="298" max="299" width="9.140625" hidden="1" customWidth="1"/>
    <col min="300" max="302" width="0" hidden="1" customWidth="1"/>
    <col min="303" max="303" width="9.140625" hidden="1" customWidth="1"/>
    <col min="304" max="305" width="0" hidden="1" customWidth="1"/>
    <col min="306" max="306" width="9.140625" hidden="1" customWidth="1"/>
    <col min="307" max="308" width="0" hidden="1" customWidth="1"/>
    <col min="309" max="310" width="9.140625" hidden="1" customWidth="1"/>
    <col min="311" max="312" width="0" hidden="1" customWidth="1"/>
    <col min="313" max="313" width="9.140625" hidden="1" customWidth="1"/>
    <col min="314" max="315" width="0" hidden="1" customWidth="1"/>
    <col min="316" max="316" width="9.140625" hidden="1" customWidth="1"/>
    <col min="317" max="318" width="0" hidden="1" customWidth="1"/>
    <col min="319" max="319" width="9.140625" hidden="1" customWidth="1"/>
    <col min="320" max="320" width="0" hidden="1" customWidth="1"/>
    <col min="321" max="322" width="9.140625" hidden="1" customWidth="1"/>
    <col min="323" max="325" width="0" hidden="1" customWidth="1"/>
    <col min="326" max="326" width="9.140625" hidden="1" customWidth="1"/>
    <col min="327" max="328" width="0" hidden="1" customWidth="1"/>
    <col min="329" max="329" width="9.140625" hidden="1" customWidth="1"/>
    <col min="330" max="331" width="0" hidden="1" customWidth="1"/>
    <col min="332" max="333" width="9.140625" hidden="1" customWidth="1"/>
    <col min="334" max="335" width="0" hidden="1" customWidth="1"/>
    <col min="336" max="336" width="9.140625" hidden="1" customWidth="1"/>
    <col min="337" max="338" width="0" hidden="1" customWidth="1"/>
    <col min="339" max="339" width="9.140625" hidden="1" customWidth="1"/>
    <col min="340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80</v>
      </c>
      <c r="C1" s="33"/>
      <c r="D1" s="33"/>
      <c r="E1" s="33"/>
      <c r="F1" s="33"/>
      <c r="G1" s="33"/>
      <c r="H1" s="33"/>
      <c r="I1" s="65" t="s">
        <v>81</v>
      </c>
      <c r="J1" s="10"/>
      <c r="K1" s="10"/>
      <c r="L1" s="10"/>
      <c r="M1" s="10"/>
      <c r="N1" s="10"/>
      <c r="O1" s="10"/>
      <c r="P1" s="65" t="s">
        <v>82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34" t="s">
        <v>53</v>
      </c>
      <c r="H2" s="34" t="s">
        <v>54</v>
      </c>
      <c r="I2" s="56" t="s">
        <v>22</v>
      </c>
      <c r="J2" s="34" t="s">
        <v>23</v>
      </c>
      <c r="K2" s="34" t="s">
        <v>24</v>
      </c>
      <c r="L2" s="34" t="s">
        <v>25</v>
      </c>
      <c r="M2" s="34" t="s">
        <v>26</v>
      </c>
      <c r="N2" s="34" t="s">
        <v>53</v>
      </c>
      <c r="O2" s="34" t="s">
        <v>54</v>
      </c>
      <c r="P2" s="56" t="s">
        <v>22</v>
      </c>
      <c r="Q2" s="34" t="s">
        <v>23</v>
      </c>
      <c r="R2" s="34" t="s">
        <v>24</v>
      </c>
      <c r="S2" s="34" t="s">
        <v>25</v>
      </c>
      <c r="T2" s="34" t="s">
        <v>26</v>
      </c>
      <c r="U2" s="34" t="s">
        <v>53</v>
      </c>
      <c r="V2" s="34" t="s">
        <v>54</v>
      </c>
      <c r="W2" s="53" t="s">
        <v>27</v>
      </c>
    </row>
    <row r="3" spans="1:23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74">
        <v>0</v>
      </c>
      <c r="F3" s="74">
        <v>0</v>
      </c>
      <c r="G3" s="74">
        <v>44542.360419397111</v>
      </c>
      <c r="H3" s="74">
        <v>66160.639580602874</v>
      </c>
      <c r="I3" s="45">
        <f>B3/Pristalsregulering!$C$8</f>
        <v>0</v>
      </c>
      <c r="J3" s="35">
        <f>C3/Pristalsregulering!$C$8</f>
        <v>0</v>
      </c>
      <c r="K3" s="35">
        <f>D3/Pristalsregulering!$C$8</f>
        <v>0</v>
      </c>
      <c r="L3" s="35">
        <f>E3/Pristalsregulering!$C$8</f>
        <v>0</v>
      </c>
      <c r="M3" s="35">
        <f>F3/Pristalsregulering!$C$8</f>
        <v>0</v>
      </c>
      <c r="N3" s="35">
        <f>G3/Pristalsregulering!$C$8</f>
        <v>44712.267034126795</v>
      </c>
      <c r="O3" s="35">
        <f>H3/Pristalsregulering!$C$8</f>
        <v>66413.009014859344</v>
      </c>
      <c r="P3" s="45">
        <f t="shared" ref="P3:V3" si="0">IF(I4=0,0,AVERAGEIF(I4:I6,"&lt;&gt;0"))+I3</f>
        <v>10787</v>
      </c>
      <c r="Q3" s="38">
        <f t="shared" si="0"/>
        <v>0</v>
      </c>
      <c r="R3" s="38">
        <f t="shared" si="0"/>
        <v>77079.834260000003</v>
      </c>
      <c r="S3" s="38">
        <f t="shared" si="0"/>
        <v>0</v>
      </c>
      <c r="T3" s="38">
        <f t="shared" si="0"/>
        <v>144835</v>
      </c>
      <c r="U3" s="38">
        <f t="shared" si="0"/>
        <v>44712.267034126795</v>
      </c>
      <c r="V3" s="38">
        <f t="shared" si="0"/>
        <v>66413.009014859344</v>
      </c>
      <c r="W3" s="57">
        <f>SUM(P3:V3)</f>
        <v>343827.11030898616</v>
      </c>
    </row>
    <row r="4" spans="1:23" x14ac:dyDescent="0.25">
      <c r="A4" s="28">
        <v>2015</v>
      </c>
      <c r="B4" s="35">
        <v>10787</v>
      </c>
      <c r="C4" s="35"/>
      <c r="D4" s="35">
        <v>72196</v>
      </c>
      <c r="E4" s="35"/>
      <c r="F4" s="35">
        <v>144835</v>
      </c>
      <c r="G4" s="35"/>
      <c r="H4" s="35"/>
      <c r="I4" s="45">
        <f t="shared" ref="I4:O4" si="1">B4</f>
        <v>10787</v>
      </c>
      <c r="J4" s="35">
        <f t="shared" si="1"/>
        <v>0</v>
      </c>
      <c r="K4" s="35">
        <f t="shared" si="1"/>
        <v>72196</v>
      </c>
      <c r="L4" s="35">
        <f t="shared" si="1"/>
        <v>0</v>
      </c>
      <c r="M4" s="35">
        <f t="shared" si="1"/>
        <v>144835</v>
      </c>
      <c r="N4" s="35">
        <f t="shared" si="1"/>
        <v>0</v>
      </c>
      <c r="O4" s="35">
        <f t="shared" si="1"/>
        <v>0</v>
      </c>
      <c r="P4" s="45"/>
      <c r="Q4" s="38"/>
      <c r="R4" s="38"/>
      <c r="S4" s="38"/>
      <c r="T4" s="38"/>
      <c r="U4" s="38"/>
      <c r="V4" s="38"/>
      <c r="W4" s="54"/>
    </row>
    <row r="5" spans="1:23" x14ac:dyDescent="0.25">
      <c r="A5" s="28">
        <v>2014</v>
      </c>
      <c r="B5" s="35"/>
      <c r="C5" s="35">
        <v>2824.8</v>
      </c>
      <c r="D5" s="35">
        <v>81898.149999999994</v>
      </c>
      <c r="E5" s="35"/>
      <c r="F5" s="35"/>
      <c r="G5" s="35"/>
      <c r="H5" s="35"/>
      <c r="I5" s="45">
        <f>B5*Pristalsregulering!$C$7</f>
        <v>0</v>
      </c>
      <c r="J5" s="35">
        <f>C5*Pristalsregulering!$C$7</f>
        <v>2827.0598399999999</v>
      </c>
      <c r="K5" s="35">
        <f>D5*Pristalsregulering!$C$7</f>
        <v>81963.668519999992</v>
      </c>
      <c r="L5" s="35">
        <f>E5*Pristalsregulering!$C$7</f>
        <v>0</v>
      </c>
      <c r="M5" s="35">
        <f>F5*Pristalsregulering!$C$7</f>
        <v>0</v>
      </c>
      <c r="N5" s="35">
        <f>G5*Pristalsregulering!$C$7</f>
        <v>0</v>
      </c>
      <c r="O5" s="35">
        <f>H5*Pristalsregulering!$C$7</f>
        <v>0</v>
      </c>
      <c r="P5" s="45"/>
      <c r="Q5" s="35"/>
      <c r="R5" s="35"/>
      <c r="S5" s="35"/>
      <c r="T5" s="35"/>
      <c r="U5" s="38"/>
      <c r="V5" s="38"/>
      <c r="W5" s="45"/>
    </row>
    <row r="6" spans="1:23" x14ac:dyDescent="0.25">
      <c r="A6" s="28">
        <v>2013</v>
      </c>
      <c r="B6" s="35"/>
      <c r="C6" s="35"/>
      <c r="D6" s="35"/>
      <c r="E6" s="35">
        <v>3670739</v>
      </c>
      <c r="F6" s="35"/>
      <c r="G6" s="35"/>
      <c r="H6" s="35"/>
      <c r="I6" s="45">
        <f>B6*Pristalsregulering!$C$7*Pristalsregulering!$C$6</f>
        <v>0</v>
      </c>
      <c r="J6" s="35">
        <f>C6*Pristalsregulering!$C$7*Pristalsregulering!$C$6</f>
        <v>0</v>
      </c>
      <c r="K6" s="35">
        <f>D6*Pristalsregulering!$C$7*Pristalsregulering!$C$6</f>
        <v>0</v>
      </c>
      <c r="L6" s="35">
        <f>E6*Pristalsregulering!$C$7*Pristalsregulering!$C$6</f>
        <v>3728780.7250679992</v>
      </c>
      <c r="M6" s="35">
        <f>F6*Pristalsregulering!$C$7*Pristalsregulering!$C$6</f>
        <v>0</v>
      </c>
      <c r="N6" s="35">
        <f>G6*Pristalsregulering!$C$7*Pristalsregulering!$C$6</f>
        <v>0</v>
      </c>
      <c r="O6" s="35">
        <f>H6*Pristalsregulering!$C$7*Pristalsregulering!$C$6</f>
        <v>0</v>
      </c>
      <c r="P6" s="45"/>
      <c r="Q6" s="35"/>
      <c r="R6" s="35"/>
      <c r="S6" s="35"/>
      <c r="T6" s="35"/>
      <c r="U6" s="38"/>
      <c r="V6" s="38"/>
      <c r="W6" s="45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28</v>
      </c>
      <c r="C1" s="76"/>
      <c r="D1" s="76"/>
      <c r="E1" s="77" t="s">
        <v>60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15000</v>
      </c>
      <c r="C3" s="42">
        <v>90580</v>
      </c>
      <c r="D3" s="42">
        <v>0</v>
      </c>
      <c r="E3" s="41">
        <f>B3</f>
        <v>15000</v>
      </c>
      <c r="F3" s="42">
        <f t="shared" ref="F3:G3" si="0">C3</f>
        <v>90580</v>
      </c>
      <c r="G3" s="43">
        <f t="shared" si="0"/>
        <v>0</v>
      </c>
      <c r="H3" s="44">
        <f>IF(E3=0,0,AVERAGEIF(E3:E5,"&lt;&gt;0"))+IF(F3=0,0,AVERAGEIF(F3:F5,"&lt;&gt;0"))+IF(G3=0,0,AVERAGEIF(G3:G5,"&lt;&gt;0"))</f>
        <v>90949.402533333327</v>
      </c>
    </row>
    <row r="4" spans="1:8" x14ac:dyDescent="0.25">
      <c r="A4" s="31">
        <v>2014</v>
      </c>
      <c r="B4" s="41">
        <v>15000</v>
      </c>
      <c r="C4" s="42">
        <v>68600</v>
      </c>
      <c r="D4" s="42">
        <v>0</v>
      </c>
      <c r="E4" s="41">
        <f>B4*Pristalsregulering!$C$7</f>
        <v>15011.999999999998</v>
      </c>
      <c r="F4" s="42">
        <f>C4*Pristalsregulering!$C$7</f>
        <v>68654.87999999999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16500</v>
      </c>
      <c r="C5" s="42">
        <v>65800</v>
      </c>
      <c r="D5" s="42">
        <v>0</v>
      </c>
      <c r="E5" s="41">
        <f>B5*Pristalsregulering!$C$7*Pristalsregulering!$C$6</f>
        <v>16760.897999999994</v>
      </c>
      <c r="F5" s="42">
        <f>C5*Pristalsregulering!$C$7*Pristalsregulering!$C$6</f>
        <v>66840.429599999989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74</v>
      </c>
      <c r="C1" s="78"/>
      <c r="D1" s="79"/>
      <c r="E1" s="80" t="s">
        <v>75</v>
      </c>
      <c r="F1" s="80"/>
      <c r="G1" s="80"/>
    </row>
    <row r="2" spans="1:7" s="22" customFormat="1" ht="15.75" thickTop="1" x14ac:dyDescent="0.25">
      <c r="A2" s="71" t="s">
        <v>13</v>
      </c>
      <c r="B2" s="23" t="s">
        <v>73</v>
      </c>
      <c r="C2" s="23" t="s">
        <v>1</v>
      </c>
      <c r="D2" s="28" t="s">
        <v>83</v>
      </c>
      <c r="E2" s="22" t="s">
        <v>0</v>
      </c>
      <c r="F2" s="22" t="s">
        <v>1</v>
      </c>
      <c r="G2" s="22" t="s">
        <v>83</v>
      </c>
    </row>
    <row r="3" spans="1:7" s="22" customFormat="1" x14ac:dyDescent="0.25">
      <c r="A3" s="72">
        <v>2015</v>
      </c>
      <c r="B3" s="38">
        <v>31970053.464890629</v>
      </c>
      <c r="C3" s="38">
        <v>3819240.8466666676</v>
      </c>
      <c r="D3" s="40">
        <v>835346.02</v>
      </c>
      <c r="E3" s="35">
        <f>B3*Pristalsregulering!C2*Pristalsregulering!C3*Pristalsregulering!C4*Pristalsregulering!C5*Pristalsregulering!C6*Pristalsregulering!C7</f>
        <v>34805764.120499268</v>
      </c>
      <c r="F3" s="35">
        <v>3993338.6520952769</v>
      </c>
      <c r="G3" s="35">
        <f xml:space="preserve"> D3/Pristalsregulering!$C$8</f>
        <v>838532.44328448107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44</v>
      </c>
      <c r="C1" s="76"/>
      <c r="D1" s="76"/>
      <c r="E1" s="76"/>
      <c r="F1" s="77" t="s">
        <v>61</v>
      </c>
      <c r="G1" s="78"/>
      <c r="H1" s="78"/>
      <c r="I1" s="78"/>
      <c r="J1" s="81" t="s">
        <v>33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78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15610</v>
      </c>
      <c r="D3" s="38">
        <v>0</v>
      </c>
      <c r="E3" s="40">
        <v>0</v>
      </c>
      <c r="F3" s="38">
        <f>B3</f>
        <v>0</v>
      </c>
      <c r="G3" s="38">
        <f>C3</f>
        <v>15610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15610</v>
      </c>
      <c r="L3" s="43">
        <f>AVERAGE(H3:H5)+AVERAGE(I3:I5)</f>
        <v>0</v>
      </c>
      <c r="M3" s="44">
        <f>SUM(J3:L3)</f>
        <v>15610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8161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8290.0417319999979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62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2">
        <v>32522.74</v>
      </c>
      <c r="C2" s="42">
        <v>103448</v>
      </c>
      <c r="D2" s="42">
        <v>17891</v>
      </c>
      <c r="E2" s="42">
        <v>17493487</v>
      </c>
      <c r="F2" s="42">
        <v>7217179</v>
      </c>
      <c r="G2" s="42">
        <v>0</v>
      </c>
      <c r="H2" s="42">
        <v>194720</v>
      </c>
      <c r="I2" s="42">
        <v>0</v>
      </c>
      <c r="J2" s="42"/>
      <c r="K2" s="42"/>
      <c r="L2" s="43">
        <v>0</v>
      </c>
      <c r="M2" s="44">
        <f>SUM(B2:L2)</f>
        <v>25059247.739999998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63</v>
      </c>
      <c r="B1" s="64" t="s">
        <v>64</v>
      </c>
    </row>
    <row r="2" spans="1:2" x14ac:dyDescent="0.25">
      <c r="A2" s="23" t="s">
        <v>79</v>
      </c>
      <c r="B2" s="35">
        <v>310909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65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56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57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2017-10-13T11:57:12Z</dcterms:modified>
</cp:coreProperties>
</file>