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G4" i="16" l="1"/>
  <c r="J3" i="16" l="1"/>
  <c r="F3" i="17"/>
  <c r="G3" i="17"/>
  <c r="E4" i="16" l="1"/>
  <c r="F4" i="16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G6" i="16"/>
  <c r="G5" i="17"/>
  <c r="F4" i="17"/>
  <c r="E5" i="17"/>
  <c r="G4" i="17"/>
  <c r="E4" i="17"/>
  <c r="F5" i="17"/>
  <c r="E5" i="16"/>
  <c r="H3" i="16" s="1"/>
  <c r="E6" i="16"/>
  <c r="J3" i="24"/>
  <c r="F5" i="16"/>
  <c r="I3" i="16" s="1"/>
  <c r="F6" i="16"/>
  <c r="M3" i="24" l="1"/>
  <c r="B9" i="12" s="1"/>
  <c r="B10" i="12" s="1"/>
  <c r="H3" i="17"/>
  <c r="B4" i="12" s="1"/>
  <c r="I2" i="15"/>
  <c r="K2" i="15" s="1"/>
  <c r="B2" i="12" s="1"/>
  <c r="K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<sst xmlns="http://schemas.openxmlformats.org/spreadsheetml/2006/main" count="119" uniqueCount="80">
  <si>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</si>
  <si>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</si>
  <si>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</si>
  <si>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</si>
  <si>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</si>
  <si>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</si>
  <si>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</si>
  <si>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</si>
  <si>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</si>
  <si>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</si>
  <si>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</si>
  <si>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</si>
  <si>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</si>
  <si>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</si>
  <si>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</si>
  <si>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</si>
  <si>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</si>
  <si>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</si>
  <si>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</si>
  <si>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</si>
  <si>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</si>
  <si>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</si>
  <si>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</si>
  <si>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>Øget rensning af spildevand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</si>
  <si>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</si>
  <si>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</si>
  <si>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</si>
  <si>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</si>
  <si>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</si>
  <si>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</si>
  <si>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</si>
  <si>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</si>
  <si>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</si>
  <si>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</si>
  <si>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</si>
  <si>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</si>
  <si>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</si>
  <si>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</si>
  <si>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</si>
  <si>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</si>
  <si>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</si>
  <si>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</si>
  <si>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</si>
  <si>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</si>
  <si>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</si>
  <si>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</si>
  <si>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</si>
  <si>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</si>
  <si>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</si>
  <si>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</si>
  <si>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Usserød å (klimatilpasning)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</si>
  <si>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</si>
  <si>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</si>
  <si>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</si>
  <si>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</si>
  <si>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</si>
  <si>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</si>
  <si>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</si>
  <si>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</si>
  <si>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</si>
  <si>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</si>
  <si>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</si>
  <si>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</si>
  <si>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</si>
  <si>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</si>
  <si>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</si>
  <si>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</si>
  <si>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</si>
  <si>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</si>
  <si>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</si>
  <si>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</si>
  <si>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</si>
  <si>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</si>
  <si>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</si>
  <si>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</si>
  <si>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Vådeng Mortenstrup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</si>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</sst>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13900700.915172551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860325.79312614887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93092.398933333316</v>
      </c>
      <c r="C4" t="s">
        <v>11</v>
      </c>
    </row>
    <row r="5" spans="1:3" s="26" customFormat="1" x14ac:dyDescent="0.25">
      <c r="A5" s="3" t="s">
        <v>12</v>
      </c>
      <c r="B5" s="48">
        <f>SUM(B2:B4)</f>
        <v>14854119.107232032</v>
      </c>
      <c r="C5" s="62" t="s">
        <v>11</v>
      </c>
    </row>
    <row r="6" spans="1:3" x14ac:dyDescent="0.25">
      <c r="A6" s="47" t="s">
        <v>0</v>
      </c>
      <c r="B6" s="38">
        <f>Investeringer!E3</f>
        <v>19925304.216602098</v>
      </c>
      <c r="C6" s="23" t="s">
        <v>11</v>
      </c>
    </row>
    <row r="7" spans="1:3" x14ac:dyDescent="0.25">
      <c r="A7" s="4" t="s">
        <v>1</v>
      </c>
      <c r="B7" s="35">
        <f>Investeringer!F3</f>
        <v>5245439.7368600518</v>
      </c>
      <c r="C7" t="s">
        <v>11</v>
      </c>
    </row>
    <row r="8" spans="1:3" x14ac:dyDescent="0.25">
      <c r="A8" s="4" t="s">
        <v>2</v>
      </c>
      <c r="B8" s="35">
        <f>Investeringer!G3</f>
        <v>1028425.5102723651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580487.68337733333</v>
      </c>
      <c r="C9" t="s">
        <v>11</v>
      </c>
    </row>
    <row r="10" spans="1:3" s="22" customFormat="1" x14ac:dyDescent="0.25">
      <c r="A10" s="3" t="s">
        <v>48</v>
      </c>
      <c r="B10" s="48">
        <f>SUM(B6:B9)</f>
        <v>26779657.147111848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1158402</v>
      </c>
      <c r="C11" t="s">
        <v>11</v>
      </c>
    </row>
    <row r="12" spans="1:3" s="22" customFormat="1" x14ac:dyDescent="0.25">
      <c r="A12" s="4" t="s">
        <v>51</v>
      </c>
      <c r="B12" s="35">
        <f>SUM(Medfinansiering!B:B)</f>
        <v>230372</v>
      </c>
      <c r="C12" s="22" t="s">
        <v>11</v>
      </c>
    </row>
    <row r="13" spans="1:3" s="22" customFormat="1" x14ac:dyDescent="0.25">
      <c r="A13" s="3" t="s">
        <v>72</v>
      </c>
      <c r="B13" s="48">
        <f>SUM(B11:B12)</f>
        <v>1388774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62</v>
      </c>
      <c r="B15" s="37">
        <f>SUM(B5,B10,B13)</f>
        <v>43022550.254343882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54</v>
      </c>
      <c r="B17" s="37">
        <f>B15*Pristalsregulering!C8*Pristalsregulering!C9</f>
        <v>43403374.683332264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63</v>
      </c>
      <c r="D1" s="59" t="s">
        <v>64</v>
      </c>
      <c r="E1" s="59" t="s">
        <v>55</v>
      </c>
      <c r="F1" s="52" t="s">
        <v>65</v>
      </c>
      <c r="G1" s="52" t="s">
        <v>73</v>
      </c>
      <c r="H1" s="52" t="s">
        <v>66</v>
      </c>
      <c r="I1" s="52" t="s">
        <v>49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49">
        <v>12685867</v>
      </c>
      <c r="C2" s="49">
        <v>0</v>
      </c>
      <c r="D2" s="49">
        <f>B2+C2</f>
        <v>12685867</v>
      </c>
      <c r="E2" s="50">
        <f>D2</f>
        <v>12685867</v>
      </c>
      <c r="F2" s="49">
        <v>17298226.00676059</v>
      </c>
      <c r="G2" s="49">
        <v>0</v>
      </c>
      <c r="H2" s="49">
        <f>F2-G2</f>
        <v>17298226.00676059</v>
      </c>
      <c r="I2" s="49">
        <f>AVERAGEIF(E2:E4,"&lt;&gt;0")</f>
        <v>12791215.725701332</v>
      </c>
      <c r="J2" s="49">
        <v>13900700.915172551</v>
      </c>
      <c r="K2" s="39">
        <f>IF(H2&gt;I2,IF(I2&gt;J2,I2,J2),H2)</f>
        <v>13900700.915172551</v>
      </c>
    </row>
    <row r="3" spans="1:11" s="23" customFormat="1" x14ac:dyDescent="0.25">
      <c r="A3" s="28">
        <v>2014</v>
      </c>
      <c r="B3" s="49">
        <v>12067486.710000001</v>
      </c>
      <c r="C3" s="49"/>
      <c r="D3" s="49">
        <f t="shared" ref="D3:D4" si="0">B3+C3</f>
        <v>12067486.710000001</v>
      </c>
      <c r="E3" s="50">
        <f>D3*Pristalsregulering!C7</f>
        <v>12077140.699368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13398778</v>
      </c>
      <c r="C4" s="49"/>
      <c r="D4" s="49">
        <f t="shared" si="0"/>
        <v>13398778</v>
      </c>
      <c r="E4" s="50">
        <f>D4*Pristalsregulering!$C$6*Pristalsregulering!$C$7</f>
        <v>13610639.477735996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22" customWidth="1"/>
    <col min="5" max="5" width="30.7109375" style="55" customWidth="1"/>
    <col min="6" max="6" width="30.7109375" customWidth="1"/>
    <col min="7" max="7" width="30.7109375" style="22" customWidth="1"/>
    <col min="8" max="8" width="30.7109375" style="55" customWidth="1"/>
    <col min="9" max="9" width="30.7109375" customWidth="1"/>
    <col min="10" max="10" width="30.7109375" style="22" customWidth="1"/>
    <col min="11" max="11" width="30.7109375" style="55" customWidth="1"/>
    <col min="12" max="12" width="9.140625" hidden="1" customWidth="1"/>
    <col min="13" max="19" width="0" hidden="1" customWidth="1"/>
    <col min="20" max="20" width="9.140625" hidden="1" customWidth="1"/>
    <col min="21" max="58" width="0" hidden="1" customWidth="1"/>
    <col min="59" max="59" width="9.140625" hidden="1" customWidth="1"/>
    <col min="60" max="66" width="0" hidden="1" customWidth="1"/>
    <col min="67" max="68" width="9.140625" hidden="1" customWidth="1"/>
    <col min="69" max="73" width="0" hidden="1" customWidth="1"/>
    <col min="74" max="74" width="9.140625" hidden="1" customWidth="1"/>
    <col min="75" max="81" width="0" hidden="1" customWidth="1"/>
    <col min="82" max="82" width="9.140625" hidden="1" customWidth="1"/>
    <col min="83" max="120" width="0" hidden="1" customWidth="1"/>
    <col min="121" max="121" width="9.140625" hidden="1" customWidth="1"/>
    <col min="122" max="128" width="0" hidden="1" customWidth="1"/>
    <col min="129" max="130" width="9.140625" hidden="1" customWidth="1"/>
    <col min="131" max="167" width="0" hidden="1" customWidth="1"/>
    <col min="168" max="168" width="9.140625" hidden="1" customWidth="1"/>
    <col min="169" max="175" width="0" hidden="1" customWidth="1"/>
    <col min="176" max="178" width="9.140625" hidden="1" customWidth="1"/>
    <col min="179" max="182" width="0" hidden="1" customWidth="1"/>
    <col min="183" max="183" width="9.140625" hidden="1" customWidth="1"/>
    <col min="184" max="190" width="0" hidden="1" customWidth="1"/>
    <col min="191" max="192" width="9.140625" hidden="1" customWidth="1"/>
    <col min="193" max="229" width="0" hidden="1" customWidth="1"/>
    <col min="230" max="230" width="9.140625" hidden="1" customWidth="1"/>
    <col min="231" max="237" width="0" hidden="1" customWidth="1"/>
    <col min="238" max="240" width="9.140625" hidden="1" customWidth="1"/>
    <col min="241" max="276" width="0" hidden="1" customWidth="1"/>
    <col min="277" max="277" width="9.140625" hidden="1" customWidth="1"/>
    <col min="278" max="284" width="0" hidden="1" customWidth="1"/>
    <col min="285" max="288" width="9.140625" hidden="1" customWidth="1"/>
    <col min="289" max="291" width="0" hidden="1" customWidth="1"/>
    <col min="292" max="294" width="9.140625" hidden="1" customWidth="1"/>
    <col min="295" max="330" width="0" hidden="1" customWidth="1"/>
    <col min="331" max="331" width="9.140625" hidden="1" customWidth="1"/>
    <col min="332" max="338" width="0" hidden="1" customWidth="1"/>
    <col min="339" max="16384" width="9.140625" hidden="1"/>
  </cols>
  <sheetData>
    <row r="1" spans="1:11" s="27" customFormat="1" ht="15.75" thickBot="1" x14ac:dyDescent="0.3">
      <c r="A1" s="9"/>
      <c r="B1" s="33" t="s">
        <v>76</v>
      </c>
      <c r="C1" s="33"/>
      <c r="D1" s="33"/>
      <c r="E1" s="65" t="s">
        <v>77</v>
      </c>
      <c r="F1" s="10"/>
      <c r="G1" s="10"/>
      <c r="H1" s="65" t="s">
        <v>78</v>
      </c>
      <c r="I1" s="10"/>
      <c r="J1" s="10"/>
      <c r="K1" s="65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50</v>
      </c>
      <c r="E2" s="56" t="s">
        <v>22</v>
      </c>
      <c r="F2" s="34" t="s">
        <v>23</v>
      </c>
      <c r="G2" s="34" t="s">
        <v>50</v>
      </c>
      <c r="H2" s="56" t="s">
        <v>22</v>
      </c>
      <c r="I2" s="34" t="s">
        <v>23</v>
      </c>
      <c r="J2" s="34" t="s">
        <v>50</v>
      </c>
      <c r="K2" s="53" t="s">
        <v>24</v>
      </c>
    </row>
    <row r="3" spans="1:11" s="22" customFormat="1" x14ac:dyDescent="0.25">
      <c r="A3" s="28">
        <v>2016</v>
      </c>
      <c r="B3" s="74">
        <v>232450.39</v>
      </c>
      <c r="C3" s="74">
        <v>0</v>
      </c>
      <c r="D3" s="74">
        <v>194697</v>
      </c>
      <c r="E3" s="45">
        <f>B3/Pristalsregulering!$C$8</f>
        <v>233337.07086930337</v>
      </c>
      <c r="F3" s="35">
        <f>C3/Pristalsregulering!$C$8</f>
        <v>0</v>
      </c>
      <c r="G3" s="35">
        <f>D3/Pristalsregulering!$C$8</f>
        <v>195439.67074884562</v>
      </c>
      <c r="H3" s="45">
        <f>IF(E4=0,0,AVERAGEIF(E4:E6,"&lt;&gt;0"))+E3</f>
        <v>233337.07086930337</v>
      </c>
      <c r="I3" s="38">
        <f>IF(F4=0,0,AVERAGEIF(F4:F6,"&lt;&gt;0"))+F3</f>
        <v>431549.05150799995</v>
      </c>
      <c r="J3" s="38">
        <f>IF(G4=0,0,AVERAGEIF(G4:G6,"&lt;&gt;0"))+G3</f>
        <v>195439.67074884562</v>
      </c>
      <c r="K3" s="57">
        <f>SUM(H3:J3)</f>
        <v>860325.79312614887</v>
      </c>
    </row>
    <row r="4" spans="1:11" x14ac:dyDescent="0.25">
      <c r="A4" s="28">
        <v>2015</v>
      </c>
      <c r="B4" s="35"/>
      <c r="C4" s="35">
        <v>245997</v>
      </c>
      <c r="D4" s="35"/>
      <c r="E4" s="45">
        <f t="shared" ref="E4:G4" si="0">B4</f>
        <v>0</v>
      </c>
      <c r="F4" s="35">
        <f t="shared" si="0"/>
        <v>245997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>
        <v>626661</v>
      </c>
      <c r="D5" s="35"/>
      <c r="E5" s="45">
        <f>B5*Pristalsregulering!$C$7</f>
        <v>0</v>
      </c>
      <c r="F5" s="35">
        <f>C5*Pristalsregulering!$C$7</f>
        <v>627162.3287999999</v>
      </c>
      <c r="G5" s="35">
        <f>D5*Pristalsregulering!$C$7</f>
        <v>0</v>
      </c>
      <c r="H5" s="45"/>
      <c r="I5" s="35"/>
      <c r="J5" s="38"/>
      <c r="K5" s="45"/>
    </row>
    <row r="6" spans="1:11" x14ac:dyDescent="0.25">
      <c r="A6" s="28">
        <v>2013</v>
      </c>
      <c r="B6" s="35"/>
      <c r="C6" s="35">
        <v>414927</v>
      </c>
      <c r="D6" s="35"/>
      <c r="E6" s="45">
        <f>B6*Pristalsregulering!$C$7*Pristalsregulering!$C$6</f>
        <v>0</v>
      </c>
      <c r="F6" s="35">
        <f>C6*Pristalsregulering!$C$7*Pristalsregulering!$C$6</f>
        <v>421487.82572399994</v>
      </c>
      <c r="G6" s="35">
        <f>D6*Pristalsregulering!$C$7*Pristalsregulering!$C$6</f>
        <v>0</v>
      </c>
      <c r="H6" s="45"/>
      <c r="I6" s="35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25</v>
      </c>
      <c r="C1" s="76"/>
      <c r="D1" s="76"/>
      <c r="E1" s="77" t="s">
        <v>56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25000</v>
      </c>
      <c r="C3" s="42">
        <v>77640</v>
      </c>
      <c r="D3" s="42">
        <v>0</v>
      </c>
      <c r="E3" s="41">
        <f>B3</f>
        <v>25000</v>
      </c>
      <c r="F3" s="42">
        <f t="shared" ref="F3:G3" si="0">C3</f>
        <v>77640</v>
      </c>
      <c r="G3" s="43">
        <f t="shared" si="0"/>
        <v>0</v>
      </c>
      <c r="H3" s="44">
        <f>IF(E3=0,0,AVERAGEIF(E3:E5,"&lt;&gt;0"))+IF(F3=0,0,AVERAGEIF(F3:F5,"&lt;&gt;0"))+IF(G3=0,0,AVERAGEIF(G3:G5,"&lt;&gt;0"))</f>
        <v>93092.398933333316</v>
      </c>
    </row>
    <row r="4" spans="1:8" x14ac:dyDescent="0.25">
      <c r="A4" s="31">
        <v>2014</v>
      </c>
      <c r="B4" s="41">
        <v>30000</v>
      </c>
      <c r="C4" s="42">
        <v>58800</v>
      </c>
      <c r="D4" s="42">
        <v>0</v>
      </c>
      <c r="E4" s="41">
        <f>B4*Pristalsregulering!$C$7</f>
        <v>30023.999999999996</v>
      </c>
      <c r="F4" s="42">
        <f>C4*Pristalsregulering!$C$7</f>
        <v>58847.039999999994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56400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57291.796799999989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70</v>
      </c>
      <c r="C1" s="78"/>
      <c r="D1" s="79"/>
      <c r="E1" s="80" t="s">
        <v>71</v>
      </c>
      <c r="F1" s="80"/>
      <c r="G1" s="80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79</v>
      </c>
      <c r="E2" s="22" t="s">
        <v>0</v>
      </c>
      <c r="F2" s="22" t="s">
        <v>1</v>
      </c>
      <c r="G2" s="22" t="s">
        <v>79</v>
      </c>
    </row>
    <row r="3" spans="1:7" s="22" customFormat="1" x14ac:dyDescent="0.25">
      <c r="A3" s="72">
        <v>2015</v>
      </c>
      <c r="B3" s="38">
        <v>18301940.991831392</v>
      </c>
      <c r="C3" s="38">
        <v>5134878.9618339194</v>
      </c>
      <c r="D3" s="40">
        <v>1024517.49333333</v>
      </c>
      <c r="E3" s="35">
        <f>B3*Pristalsregulering!C2*Pristalsregulering!C3*Pristalsregulering!C4*Pristalsregulering!C5*Pristalsregulering!C6*Pristalsregulering!C7</f>
        <v>19925304.216602098</v>
      </c>
      <c r="F3" s="35">
        <v>5245439.7368600518</v>
      </c>
      <c r="G3" s="35">
        <f xml:space="preserve"> D3/Pristalsregulering!$C$8</f>
        <v>1028425.5102723651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41</v>
      </c>
      <c r="C1" s="76"/>
      <c r="D1" s="76"/>
      <c r="E1" s="76"/>
      <c r="F1" s="77" t="s">
        <v>57</v>
      </c>
      <c r="G1" s="78"/>
      <c r="H1" s="78"/>
      <c r="I1" s="78"/>
      <c r="J1" s="81" t="s">
        <v>30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74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520447</v>
      </c>
      <c r="D3" s="38">
        <v>176200</v>
      </c>
      <c r="E3" s="40">
        <v>0</v>
      </c>
      <c r="F3" s="38">
        <f>B3</f>
        <v>0</v>
      </c>
      <c r="G3" s="38">
        <f>C3</f>
        <v>520447</v>
      </c>
      <c r="H3" s="38">
        <f>D3</f>
        <v>176200</v>
      </c>
      <c r="I3" s="40">
        <f>E3</f>
        <v>0</v>
      </c>
      <c r="J3" s="42">
        <f>AVERAGE(F3:F5)</f>
        <v>1307.3500439999996</v>
      </c>
      <c r="K3" s="42">
        <f>G3</f>
        <v>520447</v>
      </c>
      <c r="L3" s="43">
        <f>AVERAGE(H3:H5)+AVERAGE(I3:I5)</f>
        <v>58733.333333333336</v>
      </c>
      <c r="M3" s="44">
        <f>SUM(J3:L3)</f>
        <v>580487.68337733333</v>
      </c>
      <c r="N3" s="23"/>
    </row>
    <row r="4" spans="1:14" x14ac:dyDescent="0.25">
      <c r="A4" s="28">
        <v>2014</v>
      </c>
      <c r="B4" s="45">
        <v>0</v>
      </c>
      <c r="C4" s="38">
        <v>1244300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1245295.44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3861</v>
      </c>
      <c r="C5" s="38">
        <v>19431</v>
      </c>
      <c r="D5" s="38">
        <v>0</v>
      </c>
      <c r="E5" s="40">
        <v>0</v>
      </c>
      <c r="F5" s="38">
        <f>IF(B5="","",B5*Pristalsregulering!$C$7*Pristalsregulering!$C$6)</f>
        <v>3922.0501319999989</v>
      </c>
      <c r="G5" s="38">
        <f>IF(C5="","",C5*Pristalsregulering!$C$7*Pristalsregulering!$C$6)</f>
        <v>19738.242971999996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58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111823</v>
      </c>
      <c r="E2" s="42">
        <v>308908</v>
      </c>
      <c r="F2" s="42">
        <v>0</v>
      </c>
      <c r="G2" s="42">
        <v>0</v>
      </c>
      <c r="H2" s="42">
        <v>721410</v>
      </c>
      <c r="I2" s="42">
        <v>0</v>
      </c>
      <c r="J2" s="42"/>
      <c r="K2" s="42"/>
      <c r="L2" s="43">
        <v>0</v>
      </c>
      <c r="M2" s="44">
        <f>SUM(B2:L2)</f>
        <v>1158402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59</v>
      </c>
      <c r="B1" s="64" t="s">
        <v>60</v>
      </c>
    </row>
    <row r="2" spans="1:2" x14ac:dyDescent="0.25">
      <c r="A2" s="23" t="s">
        <v>75</v>
      </c>
      <c r="B2" s="35">
        <v>230372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2017-10-13T15:46:24Z</dcterms:modified>
</cp:coreProperties>
</file>