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39" i="11" l="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9" i="2"/>
  <c r="E15" i="13"/>
  <c r="F11" i="11"/>
  <c r="F40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1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<sst xmlns="http://schemas.openxmlformats.org/spreadsheetml/2006/main" count="393" uniqueCount="203">
  <si>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</si>
  <si>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</si>
  <si>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</si>
  <si>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</si>
  <si>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</si>
  <si>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</si>
  <si>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</si>
  <si>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</si>
  <si>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</si>
  <si>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</si>
  <si>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</si>
  <si>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</si>
  <si>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</si>
  <si>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</si>
  <si>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</si>
  <si>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</si>
  <si>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</si>
  <si>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</si>
  <si>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</si>
  <si>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</si>
  <si>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</si>
  <si>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</si>
  <si>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</si>
  <si>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</si>
  <si>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</si>
  <si>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</si>
  <si>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</si>
  <si>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</si>
  <si>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</si>
  <si>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</si>
  <si>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</si>
  <si>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</si>
  <si>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</si>
  <si>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</si>
  <si>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</si>
  <si>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</si>
  <si>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</si>
  <si>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</si>
  <si>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</si>
  <si>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</si>
  <si>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</si>
  <si>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</si>
  <si>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</si>
  <si>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</si>
  <si>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</si>
  <si>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</si>
  <si>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</si>
  <si>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</si>
  <si>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</si>
  <si>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</si>
  <si>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</si>
  <si>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</si>
  <si>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</si>
  <si>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</si>
  <si>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</si>
  <si>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</si>
  <si>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</si>
  <si>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</si>
  <si>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</si>
  <si>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</si>
  <si>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</si>
  <si>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</si>
  <si>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</si>
  <si>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</si>
  <si>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</si>
  <si>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</si>
  <si>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</si>
  <si>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</si>
  <si>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</si>
  <si>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</si>
  <si>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</si>
  <si>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</si>
  <si>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</si>
  <si>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</si>
  <si>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</si>
  <si>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</si>
  <si>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</si>
  <si>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</si>
  <si>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</si>
  <si>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</si>
  <si>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</si>
  <si>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</si>
  <si>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</si>
  <si>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</si>
  <si>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</si>
  <si>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</si>
  <si>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</si>
  <si>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</si>
  <si>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</si>
  <si>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</si>
  <si>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</si>
  <si>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</si>
  <si>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</si>
  <si>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</si>
  <si>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</si>
  <si>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</si>
  <si>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</si>
  <si>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</si>
  <si>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</si>
  <si>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</si>
  <si>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</si>
  <si>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</si>
  <si>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</si>
  <si>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</si>
  <si>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</si>
  <si>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</si>
  <si>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</si>
  <si>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</si>
  <si>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</si>
  <si>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</si>
  <si>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</si>
  <si>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</si>
  <si>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</si>
  <si>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</si>
  <si>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</si>
  <si>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</si>
  <si>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</si>
  <si>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</si>
  <si>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</si>
  <si>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</si>
  <si>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</si>
  <si>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</si>
  <si>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</si>
  <si>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</si>
  <si>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</si>
  <si>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</si>
  <si>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</si>
  <si>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</si>
  <si>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</si>
  <si>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</si>
  <si>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</si>
  <si>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</si>
  <si>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</si>
  <si>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</si>
  <si>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</si>
  <si>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</si>
  <si>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</si>
  <si>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</si>
  <si>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</si>
  <si>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</si>
  <si>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</si>
  <si>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</si>
  <si>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</si>
  <si>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</si>
  <si>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</si>
  <si>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</si>
  <si>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SRO</t>
  </si>
  <si>
    <t>Sand- og fedtfang, SRO</t>
  </si>
  <si>
    <t>Forklaring, SRO</t>
  </si>
  <si>
    <t>Beluftningstanke, SRO</t>
  </si>
  <si>
    <t>Efterbehandlingsanlæg (sandfilter), SRO</t>
  </si>
  <si>
    <t>Rådnetanke, slam, Mek/EL</t>
  </si>
  <si>
    <t>Rådnetanke, slam, SRO</t>
  </si>
  <si>
    <t>Gasdisponering, SRO</t>
  </si>
  <si>
    <t>Slutafvanding, slam - højteknologisk (centrifuger), SRO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</si>
  <si>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</si>
  <si>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</si>
  <si>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</si>
  <si>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</si>
  <si>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</si>
  <si>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</si>
  <si>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</si>
  <si>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</si>
  <si>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</si>
  <si>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</si>
  <si>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</si>
  <si>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</si>
  <si>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</si>
  <si>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</si>
  <si>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</si>
  <si>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Pumpeinstallation Miljøklasse A (100-300 l/s) - Mek/EL</t>
  </si>
  <si>
    <t>Pumpeinstallation Miljøklasse A (100-300 l/s) - SRO</t>
  </si>
  <si>
    <t>Forsinkelsesbassiner, lukkede uden automatisk rensning og SRO Miljøklasse B (mindre end 1.000 m3)</t>
  </si>
  <si>
    <t>Jordbassin Klasse B</t>
  </si>
  <si>
    <t>Indløb-/udløbsarrangement</t>
  </si>
  <si>
    <t>Værksteder, garager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</si>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</sst>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192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2" t="s">
        <v>78</v>
      </c>
      <c r="C9" s="70"/>
      <c r="D9" s="70"/>
      <c r="E9" s="70"/>
      <c r="F9" s="71"/>
      <c r="G9" s="12">
        <v>2009176</v>
      </c>
      <c r="H9" s="23" t="s">
        <v>4</v>
      </c>
      <c r="I9" s="2"/>
    </row>
    <row r="10" spans="1:9" x14ac:dyDescent="0.25">
      <c r="A10" s="2"/>
      <c r="B10" s="82" t="s">
        <v>79</v>
      </c>
      <c r="C10" s="70"/>
      <c r="D10" s="70"/>
      <c r="E10" s="70"/>
      <c r="F10" s="71"/>
      <c r="G10" s="12">
        <v>1693000</v>
      </c>
      <c r="H10" s="23" t="s">
        <v>4</v>
      </c>
      <c r="I10" s="2"/>
    </row>
    <row r="11" spans="1:9" x14ac:dyDescent="0.25">
      <c r="A11" s="2"/>
      <c r="B11" s="78" t="s">
        <v>193</v>
      </c>
      <c r="C11" s="79"/>
      <c r="D11" s="79"/>
      <c r="E11" s="79"/>
      <c r="F11" s="80"/>
      <c r="G11" s="21">
        <f>G9-G10</f>
        <v>316176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194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2" t="s">
        <v>80</v>
      </c>
      <c r="C15" s="70"/>
      <c r="D15" s="70"/>
      <c r="E15" s="70"/>
      <c r="F15" s="71"/>
      <c r="G15" s="12">
        <v>8670640</v>
      </c>
      <c r="H15" s="23" t="s">
        <v>4</v>
      </c>
      <c r="I15" s="2"/>
    </row>
    <row r="16" spans="1:9" x14ac:dyDescent="0.25">
      <c r="A16" s="2"/>
      <c r="B16" s="82" t="s">
        <v>81</v>
      </c>
      <c r="C16" s="70"/>
      <c r="D16" s="70"/>
      <c r="E16" s="70"/>
      <c r="F16" s="71"/>
      <c r="G16" s="12">
        <v>10150000</v>
      </c>
      <c r="H16" s="23" t="s">
        <v>4</v>
      </c>
      <c r="I16" s="2"/>
    </row>
    <row r="17" spans="1:9" x14ac:dyDescent="0.25">
      <c r="A17" s="2"/>
      <c r="B17" s="78" t="s">
        <v>194</v>
      </c>
      <c r="C17" s="79"/>
      <c r="D17" s="79"/>
      <c r="E17" s="79"/>
      <c r="F17" s="80"/>
      <c r="G17" s="21">
        <f>G15-G16</f>
        <v>-1479360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195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2" t="s">
        <v>82</v>
      </c>
      <c r="C21" s="70"/>
      <c r="D21" s="70"/>
      <c r="E21" s="70"/>
      <c r="F21" s="71"/>
      <c r="G21" s="12">
        <v>167756</v>
      </c>
      <c r="H21" s="23" t="s">
        <v>4</v>
      </c>
      <c r="I21" s="2"/>
    </row>
    <row r="22" spans="1:9" x14ac:dyDescent="0.25">
      <c r="A22" s="2"/>
      <c r="B22" s="82" t="s">
        <v>83</v>
      </c>
      <c r="C22" s="70"/>
      <c r="D22" s="70"/>
      <c r="E22" s="70"/>
      <c r="F22" s="71"/>
      <c r="G22" s="12">
        <v>275000</v>
      </c>
      <c r="H22" s="23" t="s">
        <v>4</v>
      </c>
      <c r="I22" s="2"/>
    </row>
    <row r="23" spans="1:9" x14ac:dyDescent="0.25">
      <c r="A23" s="2"/>
      <c r="B23" s="78" t="s">
        <v>195</v>
      </c>
      <c r="C23" s="79"/>
      <c r="D23" s="79"/>
      <c r="E23" s="79"/>
      <c r="F23" s="80"/>
      <c r="G23" s="21">
        <f>G21-G22</f>
        <v>-107244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196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5" t="s">
        <v>84</v>
      </c>
      <c r="C27" s="76"/>
      <c r="D27" s="76"/>
      <c r="E27" s="76"/>
      <c r="F27" s="77"/>
      <c r="G27" s="12">
        <v>0</v>
      </c>
      <c r="H27" s="23" t="s">
        <v>4</v>
      </c>
      <c r="I27" s="2"/>
    </row>
    <row r="28" spans="1:9" x14ac:dyDescent="0.25">
      <c r="A28" s="2"/>
      <c r="B28" s="82" t="s">
        <v>85</v>
      </c>
      <c r="C28" s="70"/>
      <c r="D28" s="70"/>
      <c r="E28" s="70"/>
      <c r="F28" s="71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196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2" t="s">
        <v>87</v>
      </c>
      <c r="C33" s="70"/>
      <c r="D33" s="70"/>
      <c r="E33" s="70"/>
      <c r="F33" s="71"/>
      <c r="G33" s="12">
        <f>'Fane 8. Gen. inv. i 2016'!F41</f>
        <v>838130.1166666667</v>
      </c>
      <c r="H33" s="23" t="s">
        <v>4</v>
      </c>
      <c r="I33" s="2"/>
    </row>
    <row r="34" spans="1:9" x14ac:dyDescent="0.25">
      <c r="A34" s="2"/>
      <c r="B34" s="82" t="s">
        <v>88</v>
      </c>
      <c r="C34" s="70"/>
      <c r="D34" s="70"/>
      <c r="E34" s="70"/>
      <c r="F34" s="71"/>
      <c r="G34" s="12">
        <v>483333.33333333331</v>
      </c>
      <c r="H34" s="23" t="s">
        <v>4</v>
      </c>
      <c r="I34" s="2"/>
    </row>
    <row r="35" spans="1:9" x14ac:dyDescent="0.25">
      <c r="A35" s="2"/>
      <c r="B35" s="78" t="s">
        <v>86</v>
      </c>
      <c r="C35" s="79"/>
      <c r="D35" s="79"/>
      <c r="E35" s="79"/>
      <c r="F35" s="80"/>
      <c r="G35" s="21">
        <f>G33-G34</f>
        <v>354796.78333333338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90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3" t="s">
        <v>91</v>
      </c>
      <c r="C9" s="84"/>
      <c r="D9" s="84"/>
      <c r="E9" s="84"/>
      <c r="F9" s="85"/>
      <c r="G9" s="18">
        <v>136342939.40197647</v>
      </c>
      <c r="H9" s="28" t="s">
        <v>4</v>
      </c>
      <c r="I9" s="2"/>
    </row>
    <row r="10" spans="1:9" x14ac:dyDescent="0.25">
      <c r="A10" s="2"/>
      <c r="B10" s="78" t="s">
        <v>92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82" t="s">
        <v>19</v>
      </c>
      <c r="C11" s="70"/>
      <c r="D11" s="71"/>
      <c r="E11" s="12">
        <v>51099801</v>
      </c>
      <c r="F11" s="23" t="s">
        <v>4</v>
      </c>
      <c r="G11" s="20"/>
      <c r="H11" s="31"/>
      <c r="I11" s="2"/>
    </row>
    <row r="12" spans="1:9" x14ac:dyDescent="0.25">
      <c r="A12" s="2"/>
      <c r="B12" s="82" t="s">
        <v>93</v>
      </c>
      <c r="C12" s="70"/>
      <c r="D12" s="71"/>
      <c r="E12" s="12">
        <v>13772214</v>
      </c>
      <c r="F12" s="23" t="s">
        <v>4</v>
      </c>
      <c r="G12" s="15"/>
      <c r="H12" s="32"/>
      <c r="I12" s="2"/>
    </row>
    <row r="13" spans="1:9" x14ac:dyDescent="0.25">
      <c r="A13" s="2"/>
      <c r="B13" s="82" t="s">
        <v>94</v>
      </c>
      <c r="C13" s="70"/>
      <c r="D13" s="71"/>
      <c r="E13" s="12">
        <v>7968898</v>
      </c>
      <c r="F13" s="23" t="s">
        <v>4</v>
      </c>
      <c r="G13" s="15"/>
      <c r="H13" s="32"/>
      <c r="I13" s="2"/>
    </row>
    <row r="14" spans="1:9" x14ac:dyDescent="0.25">
      <c r="A14" s="2"/>
      <c r="B14" s="82" t="s">
        <v>95</v>
      </c>
      <c r="C14" s="70"/>
      <c r="D14" s="71"/>
      <c r="E14" s="12">
        <v>1312233</v>
      </c>
      <c r="F14" s="23" t="s">
        <v>4</v>
      </c>
      <c r="G14" s="15"/>
      <c r="H14" s="32"/>
      <c r="I14" s="2"/>
    </row>
    <row r="15" spans="1:9" x14ac:dyDescent="0.25">
      <c r="A15" s="2"/>
      <c r="B15" s="83" t="s">
        <v>20</v>
      </c>
      <c r="C15" s="84"/>
      <c r="D15" s="85"/>
      <c r="E15" s="18">
        <f>SUM(E11:E14)</f>
        <v>74153146</v>
      </c>
      <c r="F15" s="28" t="s">
        <v>4</v>
      </c>
      <c r="G15" s="15"/>
      <c r="H15" s="32"/>
      <c r="I15" s="2"/>
    </row>
    <row r="16" spans="1:9" x14ac:dyDescent="0.25">
      <c r="A16" s="2"/>
      <c r="B16" s="82" t="s">
        <v>21</v>
      </c>
      <c r="C16" s="70"/>
      <c r="D16" s="71"/>
      <c r="E16" s="12">
        <v>5399028</v>
      </c>
      <c r="F16" s="23" t="s">
        <v>4</v>
      </c>
      <c r="G16" s="15"/>
      <c r="H16" s="32"/>
      <c r="I16" s="2"/>
    </row>
    <row r="17" spans="1:9" x14ac:dyDescent="0.25">
      <c r="A17" s="2"/>
      <c r="B17" s="82" t="s">
        <v>22</v>
      </c>
      <c r="C17" s="70"/>
      <c r="D17" s="71"/>
      <c r="E17" s="12">
        <v>111250</v>
      </c>
      <c r="F17" s="23" t="s">
        <v>4</v>
      </c>
      <c r="G17" s="15"/>
      <c r="H17" s="32"/>
      <c r="I17" s="2"/>
    </row>
    <row r="18" spans="1:9" x14ac:dyDescent="0.25">
      <c r="A18" s="2"/>
      <c r="B18" s="82" t="s">
        <v>23</v>
      </c>
      <c r="C18" s="70"/>
      <c r="D18" s="71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3" t="s">
        <v>24</v>
      </c>
      <c r="C19" s="84"/>
      <c r="D19" s="85"/>
      <c r="E19" s="18">
        <f>SUM(E16:E18)</f>
        <v>5510278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5" t="s">
        <v>25</v>
      </c>
      <c r="C20" s="76"/>
      <c r="D20" s="77"/>
      <c r="E20" s="12">
        <v>-27067756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5" t="s">
        <v>26</v>
      </c>
      <c r="C21" s="76"/>
      <c r="D21" s="77"/>
      <c r="E21" s="12">
        <v>0</v>
      </c>
      <c r="F21" s="23" t="s">
        <v>4</v>
      </c>
      <c r="G21" s="15"/>
      <c r="H21" s="32"/>
      <c r="I21" s="2"/>
    </row>
    <row r="22" spans="1:9" x14ac:dyDescent="0.25">
      <c r="A22" s="2"/>
      <c r="B22" s="82" t="s">
        <v>27</v>
      </c>
      <c r="C22" s="70"/>
      <c r="D22" s="71"/>
      <c r="E22" s="12">
        <v>-6446721</v>
      </c>
      <c r="F22" s="23" t="s">
        <v>4</v>
      </c>
      <c r="G22" s="15"/>
      <c r="H22" s="32"/>
      <c r="I22" s="2"/>
    </row>
    <row r="23" spans="1:9" x14ac:dyDescent="0.25">
      <c r="A23" s="2"/>
      <c r="B23" s="82" t="s">
        <v>28</v>
      </c>
      <c r="C23" s="70"/>
      <c r="D23" s="71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5" t="s">
        <v>29</v>
      </c>
      <c r="C24" s="76"/>
      <c r="D24" s="77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5" t="s">
        <v>30</v>
      </c>
      <c r="C25" s="76"/>
      <c r="D25" s="77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5" t="s">
        <v>31</v>
      </c>
      <c r="C26" s="76"/>
      <c r="D26" s="77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3" t="s">
        <v>32</v>
      </c>
      <c r="C27" s="84"/>
      <c r="D27" s="85"/>
      <c r="E27" s="18">
        <f>SUM(E20:E26)</f>
        <v>-33514477</v>
      </c>
      <c r="F27" s="28" t="s">
        <v>4</v>
      </c>
      <c r="G27" s="16"/>
      <c r="H27" s="33"/>
      <c r="I27" s="2"/>
    </row>
    <row r="28" spans="1:9" x14ac:dyDescent="0.25">
      <c r="A28" s="2"/>
      <c r="B28" s="83" t="s">
        <v>33</v>
      </c>
      <c r="C28" s="84"/>
      <c r="D28" s="85"/>
      <c r="E28" s="18">
        <f>E15+E19+E27</f>
        <v>46148947</v>
      </c>
      <c r="F28" s="28" t="s">
        <v>4</v>
      </c>
      <c r="G28" s="1">
        <f>IF(E28&lt;0,0,-E28)</f>
        <v>-46148947</v>
      </c>
      <c r="H28" s="28" t="s">
        <v>4</v>
      </c>
      <c r="I28" s="2"/>
    </row>
    <row r="29" spans="1:9" x14ac:dyDescent="0.25">
      <c r="A29" s="2"/>
      <c r="B29" s="78" t="s">
        <v>96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3" t="s">
        <v>96</v>
      </c>
      <c r="C30" s="84"/>
      <c r="D30" s="85"/>
      <c r="E30" s="18">
        <v>25559069.401976466</v>
      </c>
      <c r="F30" s="28" t="s">
        <v>4</v>
      </c>
      <c r="G30" s="18">
        <f>-$E$30</f>
        <v>-25559069.401976466</v>
      </c>
      <c r="H30" s="28" t="s">
        <v>4</v>
      </c>
      <c r="I30" s="2"/>
    </row>
    <row r="31" spans="1:9" x14ac:dyDescent="0.25">
      <c r="A31" s="2"/>
      <c r="B31" s="99" t="s">
        <v>57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75" t="s">
        <v>58</v>
      </c>
      <c r="C32" s="76"/>
      <c r="D32" s="77"/>
      <c r="E32" s="12">
        <v>60229069</v>
      </c>
      <c r="F32" s="23" t="s">
        <v>4</v>
      </c>
      <c r="G32" s="20"/>
      <c r="H32" s="31"/>
      <c r="I32" s="2"/>
    </row>
    <row r="33" spans="1:9" x14ac:dyDescent="0.25">
      <c r="A33" s="2"/>
      <c r="B33" s="82" t="s">
        <v>34</v>
      </c>
      <c r="C33" s="70"/>
      <c r="D33" s="71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5" t="s">
        <v>35</v>
      </c>
      <c r="C34" s="76"/>
      <c r="D34" s="77"/>
      <c r="E34" s="12">
        <v>4405854</v>
      </c>
      <c r="F34" s="23" t="s">
        <v>4</v>
      </c>
      <c r="G34" s="16"/>
      <c r="H34" s="33"/>
      <c r="I34" s="2"/>
    </row>
    <row r="35" spans="1:9" x14ac:dyDescent="0.25">
      <c r="A35" s="2"/>
      <c r="B35" s="83" t="s">
        <v>36</v>
      </c>
      <c r="C35" s="84"/>
      <c r="D35" s="85"/>
      <c r="E35" s="18">
        <f>SUM(E32:E34)</f>
        <v>64634923</v>
      </c>
      <c r="F35" s="28" t="s">
        <v>4</v>
      </c>
      <c r="G35" s="18">
        <f>-E35</f>
        <v>-64634923</v>
      </c>
      <c r="H35" s="28" t="s">
        <v>4</v>
      </c>
      <c r="I35" s="2"/>
    </row>
    <row r="36" spans="1:9" x14ac:dyDescent="0.25">
      <c r="A36" s="2"/>
      <c r="B36" s="78" t="s">
        <v>97</v>
      </c>
      <c r="C36" s="79"/>
      <c r="D36" s="79"/>
      <c r="E36" s="79"/>
      <c r="F36" s="80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126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189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2" t="s">
        <v>116</v>
      </c>
      <c r="C9" s="74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190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133</v>
      </c>
      <c r="C11" s="79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8" t="s">
        <v>145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185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2" t="s">
        <v>202</v>
      </c>
      <c r="C16" s="73"/>
      <c r="D16" s="73"/>
      <c r="E16" s="74"/>
      <c r="F16" s="98" t="s">
        <v>186</v>
      </c>
      <c r="G16" s="98"/>
      <c r="H16" s="2"/>
    </row>
    <row r="17" spans="1:8" x14ac:dyDescent="0.25">
      <c r="A17" s="2"/>
      <c r="B17" s="82" t="s">
        <v>198</v>
      </c>
      <c r="C17" s="70"/>
      <c r="D17" s="70"/>
      <c r="E17" s="71"/>
      <c r="F17" s="12">
        <v>0</v>
      </c>
      <c r="G17" s="23" t="s">
        <v>4</v>
      </c>
      <c r="H17" s="2"/>
    </row>
    <row r="18" spans="1:8" x14ac:dyDescent="0.25">
      <c r="A18" s="2"/>
      <c r="B18" s="78" t="s">
        <v>187</v>
      </c>
      <c r="C18" s="79"/>
      <c r="D18" s="79"/>
      <c r="E18" s="80"/>
      <c r="F18" s="21">
        <f>SUM(F17:F17)</f>
        <v>0</v>
      </c>
      <c r="G18" s="22" t="s">
        <v>4</v>
      </c>
      <c r="H18" s="2"/>
    </row>
    <row r="19" spans="1:8" x14ac:dyDescent="0.25">
      <c r="A19" s="2"/>
      <c r="B19" s="78" t="s">
        <v>188</v>
      </c>
      <c r="C19" s="79"/>
      <c r="D19" s="79"/>
      <c r="E19" s="80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117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197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128</v>
      </c>
      <c r="C11" s="80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8" t="s">
        <v>144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109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ht="15" customHeight="1" x14ac:dyDescent="0.25">
      <c r="A9" s="2"/>
      <c r="B9" s="75" t="s">
        <v>60</v>
      </c>
      <c r="C9" s="76"/>
      <c r="D9" s="77"/>
      <c r="E9" s="8">
        <f>'Fane 3. Korrigeret grundlag'!G12</f>
        <v>113060007.72364998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70"/>
      <c r="D10" s="71"/>
      <c r="E10" s="12">
        <f>'Fane 3. Korrigeret grundlag'!G11</f>
        <v>1637460.1972318199</v>
      </c>
      <c r="F10" s="9" t="s">
        <v>4</v>
      </c>
      <c r="G10" s="13"/>
      <c r="H10" s="14"/>
      <c r="I10" s="2"/>
    </row>
    <row r="11" spans="1:9" x14ac:dyDescent="0.25">
      <c r="A11" s="2"/>
      <c r="B11" s="69" t="s">
        <v>121</v>
      </c>
      <c r="C11" s="70"/>
      <c r="D11" s="71"/>
      <c r="E11" s="12">
        <f>'Fane 4. Ikke-påvirkelige omk.'!G19</f>
        <v>268875.14158450009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200</v>
      </c>
      <c r="C12" s="38"/>
      <c r="D12" s="39"/>
      <c r="E12" s="12">
        <f>'Fane 5. Individuelt eff.krav'!G10</f>
        <v>-2520216.5083959168</v>
      </c>
      <c r="F12" s="9" t="s">
        <v>4</v>
      </c>
      <c r="G12" s="13"/>
      <c r="H12" s="14"/>
      <c r="I12" s="2"/>
    </row>
    <row r="13" spans="1:9" x14ac:dyDescent="0.25">
      <c r="A13" s="2"/>
      <c r="B13" s="75" t="s">
        <v>129</v>
      </c>
      <c r="C13" s="76"/>
      <c r="D13" s="77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5" t="s">
        <v>130</v>
      </c>
      <c r="C14" s="76"/>
      <c r="D14" s="77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5" t="s">
        <v>185</v>
      </c>
      <c r="C15" s="76"/>
      <c r="D15" s="77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5" t="s">
        <v>131</v>
      </c>
      <c r="C16" s="76"/>
      <c r="D16" s="77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5" t="s">
        <v>132</v>
      </c>
      <c r="C17" s="76"/>
      <c r="D17" s="77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40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69" t="s">
        <v>123</v>
      </c>
      <c r="C19" s="70"/>
      <c r="D19" s="71"/>
      <c r="E19" s="12">
        <f>SUM(E9,E11:E17)*(E18/100)</f>
        <v>1939151.6612446751</v>
      </c>
      <c r="F19" s="9" t="s">
        <v>4</v>
      </c>
      <c r="G19" s="13"/>
      <c r="H19" s="14"/>
      <c r="I19" s="2"/>
    </row>
    <row r="20" spans="1:9" x14ac:dyDescent="0.25">
      <c r="A20" s="2"/>
      <c r="B20" s="82" t="s">
        <v>15</v>
      </c>
      <c r="C20" s="70"/>
      <c r="D20" s="71"/>
      <c r="E20" s="12">
        <f>'Fane 5. Individuelt eff.krav'!G12</f>
        <v>1919032.4262163844</v>
      </c>
      <c r="F20" s="9" t="s">
        <v>4</v>
      </c>
      <c r="G20" s="15"/>
      <c r="H20" s="14"/>
      <c r="I20" s="2"/>
    </row>
    <row r="21" spans="1:9" x14ac:dyDescent="0.25">
      <c r="A21" s="2"/>
      <c r="B21" s="82" t="s">
        <v>16</v>
      </c>
      <c r="C21" s="70"/>
      <c r="D21" s="71"/>
      <c r="E21" s="12">
        <f>'Fane 6. Generelt eff.krav'!G17</f>
        <v>2049320.0836397917</v>
      </c>
      <c r="F21" s="9" t="s">
        <v>4</v>
      </c>
      <c r="G21" s="16"/>
      <c r="H21" s="17"/>
      <c r="I21" s="2"/>
    </row>
    <row r="22" spans="1:9" x14ac:dyDescent="0.25">
      <c r="A22" s="2"/>
      <c r="B22" s="83" t="s">
        <v>191</v>
      </c>
      <c r="C22" s="84"/>
      <c r="D22" s="85"/>
      <c r="E22" s="18">
        <f>SUM(E9,E11:E17,E19)-SUM(E20:E21)</f>
        <v>108779465.50822707</v>
      </c>
      <c r="F22" s="19" t="s">
        <v>4</v>
      </c>
      <c r="G22" s="18">
        <f>E22</f>
        <v>108779465.50822707</v>
      </c>
      <c r="H22" s="19" t="s">
        <v>4</v>
      </c>
      <c r="I22" s="2"/>
    </row>
    <row r="23" spans="1:9" x14ac:dyDescent="0.25">
      <c r="A23" s="2"/>
      <c r="B23" s="78" t="s">
        <v>17</v>
      </c>
      <c r="C23" s="79"/>
      <c r="D23" s="79"/>
      <c r="E23" s="79"/>
      <c r="F23" s="79"/>
      <c r="G23" s="79"/>
      <c r="H23" s="80"/>
      <c r="I23" s="2"/>
    </row>
    <row r="24" spans="1:9" x14ac:dyDescent="0.25">
      <c r="A24" s="2"/>
      <c r="B24" s="72" t="s">
        <v>55</v>
      </c>
      <c r="C24" s="73"/>
      <c r="D24" s="74"/>
      <c r="E24" s="18">
        <f>'Fane 7. Hist. over el. underdæk'!G13</f>
        <v>-5373080.4955908284</v>
      </c>
      <c r="F24" s="19" t="s">
        <v>4</v>
      </c>
      <c r="G24" s="18">
        <f>E24</f>
        <v>-5373080.4955908284</v>
      </c>
      <c r="H24" s="19" t="s">
        <v>4</v>
      </c>
      <c r="I24" s="2"/>
    </row>
    <row r="25" spans="1:9" x14ac:dyDescent="0.25">
      <c r="A25" s="2"/>
      <c r="B25" s="78" t="s">
        <v>98</v>
      </c>
      <c r="C25" s="79"/>
      <c r="D25" s="79"/>
      <c r="E25" s="79"/>
      <c r="F25" s="79"/>
      <c r="G25" s="79"/>
      <c r="H25" s="80"/>
      <c r="I25" s="2"/>
    </row>
    <row r="26" spans="1:9" x14ac:dyDescent="0.25">
      <c r="A26" s="2"/>
      <c r="B26" s="75" t="s">
        <v>105</v>
      </c>
      <c r="C26" s="76"/>
      <c r="D26" s="77"/>
      <c r="E26" s="12">
        <f>'Fane 9. Korrektion af PL2016'!G11</f>
        <v>316176</v>
      </c>
      <c r="F26" s="9" t="s">
        <v>4</v>
      </c>
      <c r="G26" s="20"/>
      <c r="H26" s="11"/>
      <c r="I26" s="2"/>
    </row>
    <row r="27" spans="1:9" x14ac:dyDescent="0.25">
      <c r="A27" s="2"/>
      <c r="B27" s="75" t="s">
        <v>99</v>
      </c>
      <c r="C27" s="76"/>
      <c r="D27" s="77"/>
      <c r="E27" s="12">
        <f>'Fane 9. Korrektion af PL2016'!G17</f>
        <v>-1479360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5" t="s">
        <v>100</v>
      </c>
      <c r="C28" s="76"/>
      <c r="D28" s="77"/>
      <c r="E28" s="12">
        <f>'Fane 9. Korrektion af PL2016'!G23</f>
        <v>-107244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5" t="s">
        <v>101</v>
      </c>
      <c r="C29" s="76"/>
      <c r="D29" s="77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5" t="s">
        <v>102</v>
      </c>
      <c r="C30" s="76"/>
      <c r="D30" s="77"/>
      <c r="E30" s="12">
        <f>'Fane 9. Korrektion af PL2016'!G35</f>
        <v>354796.78333333338</v>
      </c>
      <c r="F30" s="9" t="s">
        <v>4</v>
      </c>
      <c r="G30" s="15"/>
      <c r="H30" s="14"/>
      <c r="I30" s="2"/>
    </row>
    <row r="31" spans="1:9" x14ac:dyDescent="0.25">
      <c r="A31" s="2"/>
      <c r="B31" s="72" t="s">
        <v>103</v>
      </c>
      <c r="C31" s="73"/>
      <c r="D31" s="74"/>
      <c r="E31" s="18">
        <f>SUM(E26:E30)</f>
        <v>-915631.21666666656</v>
      </c>
      <c r="F31" s="19" t="s">
        <v>4</v>
      </c>
      <c r="G31" s="18">
        <f>E31</f>
        <v>-915631.21666666656</v>
      </c>
      <c r="H31" s="19" t="s">
        <v>4</v>
      </c>
      <c r="I31" s="2"/>
    </row>
    <row r="32" spans="1:9" x14ac:dyDescent="0.25">
      <c r="A32" s="2"/>
      <c r="B32" s="78" t="s">
        <v>18</v>
      </c>
      <c r="C32" s="79"/>
      <c r="D32" s="79"/>
      <c r="E32" s="79"/>
      <c r="F32" s="79"/>
      <c r="G32" s="79"/>
      <c r="H32" s="80"/>
      <c r="I32" s="2"/>
    </row>
    <row r="33" spans="1:9" x14ac:dyDescent="0.25">
      <c r="A33" s="2"/>
      <c r="B33" s="72" t="s">
        <v>104</v>
      </c>
      <c r="C33" s="73"/>
      <c r="D33" s="74"/>
      <c r="E33" s="18">
        <f>'Fane 10. Kontrol af PL2016'!G36</f>
        <v>0</v>
      </c>
      <c r="F33" s="19" t="s">
        <v>4</v>
      </c>
      <c r="G33" s="18">
        <f>E33</f>
        <v>0</v>
      </c>
      <c r="H33" s="19" t="s">
        <v>4</v>
      </c>
      <c r="I33" s="2"/>
    </row>
    <row r="34" spans="1:9" x14ac:dyDescent="0.25">
      <c r="A34" s="2"/>
      <c r="B34" s="78" t="s">
        <v>62</v>
      </c>
      <c r="C34" s="79"/>
      <c r="D34" s="79"/>
      <c r="E34" s="79"/>
      <c r="F34" s="80"/>
      <c r="G34" s="21">
        <f>G22+G24+G31+G33</f>
        <v>102490753.79596958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108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75" t="s">
        <v>106</v>
      </c>
      <c r="C9" s="76"/>
      <c r="D9" s="77"/>
      <c r="E9" s="8">
        <f>'Fane 2.1. Økonomisk ramme 2018'!G22</f>
        <v>108779465.50822707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86"/>
      <c r="D10" s="87"/>
      <c r="E10" s="12">
        <f>(SUM('Fane 2.1. Økonomisk ramme 2018'!E10:E11,'Fane 2.1. Økonomisk ramme 2018'!E15))*(1+'Fane 2.1. Økonomisk ramme 2018'!E18/100)</f>
        <v>1939696.2072456058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61</v>
      </c>
      <c r="C11" s="70"/>
      <c r="D11" s="71"/>
      <c r="E11" s="12">
        <f>$E$9*'Fane 2.1. Økonomisk ramme 2018'!E18/100</f>
        <v>1903640.6463939736</v>
      </c>
      <c r="F11" s="9" t="s">
        <v>4</v>
      </c>
      <c r="G11" s="15"/>
      <c r="H11" s="14"/>
      <c r="I11" s="2"/>
    </row>
    <row r="12" spans="1:9" x14ac:dyDescent="0.25">
      <c r="A12" s="2"/>
      <c r="B12" s="82" t="s">
        <v>15</v>
      </c>
      <c r="C12" s="70"/>
      <c r="D12" s="71"/>
      <c r="E12" s="12">
        <f>($E$9-$E$10)*(1+'Fane 2.1. Økonomisk ramme 2018'!E18/100)*'Fane 5. Individuelt eff.krav'!$G$11/100</f>
        <v>1882686.8055205448</v>
      </c>
      <c r="F12" s="9" t="s">
        <v>4</v>
      </c>
      <c r="G12" s="15"/>
      <c r="H12" s="14"/>
      <c r="I12" s="2"/>
    </row>
    <row r="13" spans="1:9" x14ac:dyDescent="0.25">
      <c r="A13" s="2"/>
      <c r="B13" s="37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2046921.2884200183</v>
      </c>
      <c r="F13" s="9" t="s">
        <v>4</v>
      </c>
      <c r="G13" s="16"/>
      <c r="H13" s="17"/>
      <c r="I13" s="2"/>
    </row>
    <row r="14" spans="1:9" x14ac:dyDescent="0.25">
      <c r="A14" s="2"/>
      <c r="B14" s="83" t="s">
        <v>191</v>
      </c>
      <c r="C14" s="84"/>
      <c r="D14" s="85"/>
      <c r="E14" s="18">
        <f>$E$9+$E$11-$E$12-$E$13</f>
        <v>106753498.06068046</v>
      </c>
      <c r="F14" s="19" t="s">
        <v>4</v>
      </c>
      <c r="G14" s="18">
        <f>E14</f>
        <v>106753498.06068046</v>
      </c>
      <c r="H14" s="19" t="s">
        <v>4</v>
      </c>
      <c r="I14" s="2"/>
    </row>
    <row r="15" spans="1:9" x14ac:dyDescent="0.25">
      <c r="A15" s="2"/>
      <c r="B15" s="78" t="s">
        <v>17</v>
      </c>
      <c r="C15" s="79"/>
      <c r="D15" s="79"/>
      <c r="E15" s="79"/>
      <c r="F15" s="79"/>
      <c r="G15" s="79"/>
      <c r="H15" s="80"/>
      <c r="I15" s="2"/>
    </row>
    <row r="16" spans="1:9" ht="15" customHeight="1" x14ac:dyDescent="0.25">
      <c r="A16" s="2"/>
      <c r="B16" s="72" t="s">
        <v>55</v>
      </c>
      <c r="C16" s="73"/>
      <c r="D16" s="74"/>
      <c r="E16" s="18">
        <f>IF('Fane 7. Hist. over el. underdæk'!$G$12&gt;1,'Fane 7. Hist. over el. underdæk'!$G$13,0)</f>
        <v>-5373080.4955908284</v>
      </c>
      <c r="F16" s="19" t="s">
        <v>4</v>
      </c>
      <c r="G16" s="18">
        <f>E16</f>
        <v>-5373080.4955908284</v>
      </c>
      <c r="H16" s="19" t="s">
        <v>4</v>
      </c>
      <c r="I16" s="2"/>
    </row>
    <row r="17" spans="1:9" x14ac:dyDescent="0.25">
      <c r="A17" s="2"/>
      <c r="B17" s="78" t="s">
        <v>107</v>
      </c>
      <c r="C17" s="79"/>
      <c r="D17" s="79"/>
      <c r="E17" s="79"/>
      <c r="F17" s="80"/>
      <c r="G17" s="21">
        <f>G14+G16</f>
        <v>101380417.56508964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141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110</v>
      </c>
      <c r="C9" s="70"/>
      <c r="D9" s="70"/>
      <c r="E9" s="70"/>
      <c r="F9" s="71"/>
      <c r="G9" s="12">
        <v>29015525.036434557</v>
      </c>
      <c r="H9" s="23" t="s">
        <v>4</v>
      </c>
      <c r="I9" s="2"/>
    </row>
    <row r="10" spans="1:9" x14ac:dyDescent="0.25">
      <c r="A10" s="2"/>
      <c r="B10" s="82" t="s">
        <v>111</v>
      </c>
      <c r="C10" s="70"/>
      <c r="D10" s="70"/>
      <c r="E10" s="70"/>
      <c r="F10" s="71"/>
      <c r="G10" s="12">
        <v>82407022.489983603</v>
      </c>
      <c r="H10" s="23" t="s">
        <v>4</v>
      </c>
      <c r="I10" s="2"/>
    </row>
    <row r="11" spans="1:9" x14ac:dyDescent="0.25">
      <c r="A11" s="2"/>
      <c r="B11" s="82" t="s">
        <v>138</v>
      </c>
      <c r="C11" s="70"/>
      <c r="D11" s="70"/>
      <c r="E11" s="70"/>
      <c r="F11" s="71"/>
      <c r="G11" s="12">
        <v>1637460.1972318199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113060007.72364998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112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113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2" t="s">
        <v>115</v>
      </c>
      <c r="C9" s="73"/>
      <c r="D9" s="7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82" t="s">
        <v>177</v>
      </c>
      <c r="C10" s="70"/>
      <c r="D10" s="70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82" t="s">
        <v>178</v>
      </c>
      <c r="C11" s="70"/>
      <c r="D11" s="70"/>
      <c r="E11" s="100">
        <v>38165.4182</v>
      </c>
      <c r="F11" s="23" t="s">
        <v>4</v>
      </c>
      <c r="G11" s="12">
        <v>46515</v>
      </c>
      <c r="H11" s="23" t="s">
        <v>4</v>
      </c>
      <c r="I11" s="2"/>
    </row>
    <row r="12" spans="1:9" x14ac:dyDescent="0.25">
      <c r="A12" s="2"/>
      <c r="B12" s="82" t="s">
        <v>179</v>
      </c>
      <c r="C12" s="70"/>
      <c r="D12" s="70"/>
      <c r="E12" s="100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82" t="s">
        <v>180</v>
      </c>
      <c r="C13" s="70"/>
      <c r="D13" s="70"/>
      <c r="E13" s="100">
        <v>16200.204399999999</v>
      </c>
      <c r="F13" s="23" t="s">
        <v>4</v>
      </c>
      <c r="G13" s="12">
        <v>57630</v>
      </c>
      <c r="H13" s="23" t="s">
        <v>4</v>
      </c>
      <c r="I13" s="2"/>
    </row>
    <row r="14" spans="1:9" x14ac:dyDescent="0.25">
      <c r="A14" s="2"/>
      <c r="B14" s="82" t="s">
        <v>181</v>
      </c>
      <c r="C14" s="70"/>
      <c r="D14" s="70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2" t="s">
        <v>182</v>
      </c>
      <c r="C15" s="70"/>
      <c r="D15" s="70"/>
      <c r="E15" s="100">
        <v>1219055.9172</v>
      </c>
      <c r="F15" s="23" t="s">
        <v>4</v>
      </c>
      <c r="G15" s="12">
        <v>1263952</v>
      </c>
      <c r="H15" s="23" t="s">
        <v>4</v>
      </c>
      <c r="I15" s="2"/>
    </row>
    <row r="16" spans="1:9" x14ac:dyDescent="0.25">
      <c r="A16" s="2"/>
      <c r="B16" s="82" t="s">
        <v>183</v>
      </c>
      <c r="C16" s="70"/>
      <c r="D16" s="70"/>
      <c r="E16" s="100">
        <v>343503.70679999999</v>
      </c>
      <c r="F16" s="23" t="s">
        <v>4</v>
      </c>
      <c r="G16" s="12">
        <v>513079</v>
      </c>
      <c r="H16" s="23" t="s">
        <v>4</v>
      </c>
      <c r="I16" s="2"/>
    </row>
    <row r="17" spans="1:9" x14ac:dyDescent="0.25">
      <c r="A17" s="2"/>
      <c r="B17" s="82" t="s">
        <v>184</v>
      </c>
      <c r="C17" s="70"/>
      <c r="D17" s="70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8" t="s">
        <v>134</v>
      </c>
      <c r="C18" s="79"/>
      <c r="D18" s="79"/>
      <c r="E18" s="79"/>
      <c r="F18" s="80"/>
      <c r="G18" s="21">
        <f>SUM(G10:G17)-SUM(E10:E17)</f>
        <v>264250.75340000005</v>
      </c>
      <c r="H18" s="22" t="s">
        <v>4</v>
      </c>
      <c r="I18" s="2"/>
    </row>
    <row r="19" spans="1:9" x14ac:dyDescent="0.25">
      <c r="A19" s="2"/>
      <c r="B19" s="78" t="s">
        <v>135</v>
      </c>
      <c r="C19" s="79"/>
      <c r="D19" s="79"/>
      <c r="E19" s="79"/>
      <c r="F19" s="80"/>
      <c r="G19" s="21">
        <f>G18*(1+'Fane 2.1. Økonomisk ramme 2018'!E18/100)</f>
        <v>268875.14158450009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71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51</v>
      </c>
      <c r="C9" s="70"/>
      <c r="D9" s="70"/>
      <c r="E9" s="70"/>
      <c r="F9" s="71"/>
      <c r="G9" s="12">
        <f>'Fane 3. Korrigeret grundlag'!G12-'Fane 3. Korrigeret grundlag'!G11+SUM('Fane 2.1. Økonomisk ramme 2018'!E13:E14,'Fane 2.1. Økonomisk ramme 2018'!E16:E17)</f>
        <v>111422547.52641816</v>
      </c>
      <c r="H9" s="23" t="s">
        <v>4</v>
      </c>
      <c r="I9" s="2"/>
    </row>
    <row r="10" spans="1:9" x14ac:dyDescent="0.25">
      <c r="A10" s="2"/>
      <c r="B10" s="37" t="s">
        <v>200</v>
      </c>
      <c r="C10" s="38"/>
      <c r="D10" s="38"/>
      <c r="E10" s="38"/>
      <c r="F10" s="39"/>
      <c r="G10" s="12">
        <v>-2520216.5083959168</v>
      </c>
      <c r="H10" s="23" t="s">
        <v>4</v>
      </c>
      <c r="I10" s="2"/>
    </row>
    <row r="11" spans="1:9" x14ac:dyDescent="0.25">
      <c r="A11" s="2"/>
      <c r="B11" s="82" t="s">
        <v>37</v>
      </c>
      <c r="C11" s="70"/>
      <c r="D11" s="70"/>
      <c r="E11" s="70"/>
      <c r="F11" s="71"/>
      <c r="G11" s="26">
        <v>1.7318517766165153</v>
      </c>
      <c r="H11" s="23" t="s">
        <v>38</v>
      </c>
      <c r="I11" s="2"/>
    </row>
    <row r="12" spans="1:9" x14ac:dyDescent="0.25">
      <c r="A12" s="2"/>
      <c r="B12" s="78" t="s">
        <v>15</v>
      </c>
      <c r="C12" s="79"/>
      <c r="D12" s="79"/>
      <c r="E12" s="79"/>
      <c r="F12" s="80"/>
      <c r="G12" s="21">
        <f>($G$9+G10)*(1+'Fane 2.1. Økonomisk ramme 2018'!E18/100)*($G$11/100)</f>
        <v>1919032.4262163844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53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29015525.036434557</v>
      </c>
      <c r="H9" s="23" t="s">
        <v>4</v>
      </c>
      <c r="I9" s="2"/>
    </row>
    <row r="10" spans="1:9" x14ac:dyDescent="0.25">
      <c r="A10" s="2"/>
      <c r="B10" s="41" t="s">
        <v>199</v>
      </c>
      <c r="C10" s="42"/>
      <c r="D10" s="42"/>
      <c r="E10" s="42"/>
      <c r="F10" s="43"/>
      <c r="G10" s="12">
        <v>-581293.99446069112</v>
      </c>
      <c r="H10" s="23" t="s">
        <v>4</v>
      </c>
      <c r="I10" s="2"/>
    </row>
    <row r="11" spans="1:9" x14ac:dyDescent="0.25">
      <c r="A11" s="2"/>
      <c r="B11" s="82" t="s">
        <v>16</v>
      </c>
      <c r="C11" s="70"/>
      <c r="D11" s="70"/>
      <c r="E11" s="70"/>
      <c r="F11" s="71"/>
      <c r="G11" s="27">
        <f>2</f>
        <v>2</v>
      </c>
      <c r="H11" s="23" t="s">
        <v>38</v>
      </c>
      <c r="I11" s="2"/>
    </row>
    <row r="12" spans="1:9" x14ac:dyDescent="0.25">
      <c r="A12" s="2"/>
      <c r="B12" s="83" t="s">
        <v>39</v>
      </c>
      <c r="C12" s="84"/>
      <c r="D12" s="84"/>
      <c r="E12" s="84"/>
      <c r="F12" s="85"/>
      <c r="G12" s="18">
        <f>($G$9+$G$10)*(1+'Fane 2.1. Økonomisk ramme 2018'!E18/100)*$G$11/100</f>
        <v>578636.60170416825</v>
      </c>
      <c r="H12" s="28" t="s">
        <v>4</v>
      </c>
      <c r="I12" s="2"/>
    </row>
    <row r="13" spans="1:9" x14ac:dyDescent="0.25">
      <c r="A13" s="2"/>
      <c r="B13" s="82" t="s">
        <v>48</v>
      </c>
      <c r="C13" s="70"/>
      <c r="D13" s="70"/>
      <c r="E13" s="70"/>
      <c r="F13" s="71"/>
      <c r="G13" s="12">
        <f xml:space="preserve"> 'Fane 3. Korrigeret grundlag'!G10+SUM('Fane 2.1. Økonomisk ramme 2018'!E14,'Fane 2.1. Økonomisk ramme 2018'!E17)</f>
        <v>82407022.489983603</v>
      </c>
      <c r="H13" s="23" t="s">
        <v>4</v>
      </c>
      <c r="I13" s="2"/>
    </row>
    <row r="14" spans="1:9" x14ac:dyDescent="0.25">
      <c r="A14" s="2"/>
      <c r="B14" s="37" t="s">
        <v>201</v>
      </c>
      <c r="C14" s="38"/>
      <c r="D14" s="38"/>
      <c r="E14" s="38"/>
      <c r="F14" s="39"/>
      <c r="G14" s="12">
        <v>-746617.32413603424</v>
      </c>
      <c r="H14" s="23" t="s">
        <v>4</v>
      </c>
      <c r="I14" s="2"/>
    </row>
    <row r="15" spans="1:9" x14ac:dyDescent="0.25">
      <c r="A15" s="2"/>
      <c r="B15" s="82" t="s">
        <v>16</v>
      </c>
      <c r="C15" s="70"/>
      <c r="D15" s="70"/>
      <c r="E15" s="70"/>
      <c r="F15" s="71"/>
      <c r="G15" s="26">
        <v>1.77</v>
      </c>
      <c r="H15" s="23" t="s">
        <v>38</v>
      </c>
      <c r="I15" s="2"/>
    </row>
    <row r="16" spans="1:9" x14ac:dyDescent="0.25">
      <c r="A16" s="2"/>
      <c r="B16" s="83" t="s">
        <v>40</v>
      </c>
      <c r="C16" s="84"/>
      <c r="D16" s="84"/>
      <c r="E16" s="84"/>
      <c r="F16" s="85"/>
      <c r="G16" s="18">
        <f>($G$13+$G$14)*(1+'Fane 2.1. Økonomisk ramme 2018'!E18/100)*$G$15/100</f>
        <v>1470683.4819356233</v>
      </c>
      <c r="H16" s="28" t="s">
        <v>4</v>
      </c>
      <c r="I16" s="2"/>
    </row>
    <row r="17" spans="1:9" x14ac:dyDescent="0.25">
      <c r="A17" s="2"/>
      <c r="B17" s="78" t="s">
        <v>52</v>
      </c>
      <c r="C17" s="79"/>
      <c r="D17" s="79"/>
      <c r="E17" s="79"/>
      <c r="F17" s="80"/>
      <c r="G17" s="21">
        <f>G12+G16</f>
        <v>2049320.0836397917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42</v>
      </c>
      <c r="C9" s="70"/>
      <c r="D9" s="70"/>
      <c r="E9" s="70"/>
      <c r="F9" s="71"/>
      <c r="G9" s="12">
        <v>-51599164</v>
      </c>
      <c r="H9" s="23" t="s">
        <v>4</v>
      </c>
      <c r="I9" s="2"/>
    </row>
    <row r="10" spans="1:9" x14ac:dyDescent="0.25">
      <c r="A10" s="2"/>
      <c r="B10" s="82" t="s">
        <v>120</v>
      </c>
      <c r="C10" s="70"/>
      <c r="D10" s="70"/>
      <c r="E10" s="70"/>
      <c r="F10" s="71"/>
      <c r="G10" s="12">
        <v>-35479922.513227515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-16119241.486772485</v>
      </c>
      <c r="H11" s="29" t="s">
        <v>4</v>
      </c>
      <c r="I11" s="2"/>
    </row>
    <row r="12" spans="1:9" x14ac:dyDescent="0.25">
      <c r="A12" s="2"/>
      <c r="B12" s="82" t="s">
        <v>43</v>
      </c>
      <c r="C12" s="70"/>
      <c r="D12" s="70"/>
      <c r="E12" s="70"/>
      <c r="F12" s="71"/>
      <c r="G12" s="12">
        <v>3</v>
      </c>
      <c r="H12" s="23" t="s">
        <v>125</v>
      </c>
      <c r="I12" s="2"/>
    </row>
    <row r="13" spans="1:9" x14ac:dyDescent="0.25">
      <c r="A13" s="2"/>
      <c r="B13" s="78" t="s">
        <v>41</v>
      </c>
      <c r="C13" s="79"/>
      <c r="D13" s="79"/>
      <c r="E13" s="79"/>
      <c r="F13" s="80"/>
      <c r="G13" s="21">
        <f>IF(G12 = 0,0,G11/G12)</f>
        <v>-5373080.4955908284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74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75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10</v>
      </c>
      <c r="E10" s="12">
        <v>55000</v>
      </c>
      <c r="F10" s="12">
        <f>E10/D10</f>
        <v>5500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10</v>
      </c>
      <c r="E11" s="12">
        <v>55000</v>
      </c>
      <c r="F11" s="12">
        <f t="shared" ref="F11:F40" si="0">E11/D11</f>
        <v>5500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10</v>
      </c>
      <c r="E12" s="12">
        <v>20000</v>
      </c>
      <c r="F12" s="12">
        <f t="shared" si="0"/>
        <v>2000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10</v>
      </c>
      <c r="E13" s="12">
        <v>45000</v>
      </c>
      <c r="F13" s="12">
        <f t="shared" si="0"/>
        <v>4500</v>
      </c>
      <c r="G13" s="23" t="s">
        <v>4</v>
      </c>
      <c r="H13" s="2"/>
    </row>
    <row r="14" spans="1:8" x14ac:dyDescent="0.25">
      <c r="A14" s="2"/>
      <c r="B14" s="101" t="s">
        <v>150</v>
      </c>
      <c r="C14" s="30">
        <v>2016</v>
      </c>
      <c r="D14" s="30">
        <v>10</v>
      </c>
      <c r="E14" s="12">
        <v>40000</v>
      </c>
      <c r="F14" s="12">
        <f t="shared" si="0"/>
        <v>4000</v>
      </c>
      <c r="G14" s="23" t="s">
        <v>4</v>
      </c>
      <c r="H14" s="2"/>
    </row>
    <row r="15" spans="1:8" x14ac:dyDescent="0.25">
      <c r="A15" s="2"/>
      <c r="B15" s="101" t="s">
        <v>151</v>
      </c>
      <c r="C15" s="30">
        <v>2016</v>
      </c>
      <c r="D15" s="30">
        <v>20</v>
      </c>
      <c r="E15" s="12">
        <v>43577</v>
      </c>
      <c r="F15" s="12">
        <f t="shared" si="0"/>
        <v>2178.85</v>
      </c>
      <c r="G15" s="23" t="s">
        <v>4</v>
      </c>
      <c r="H15" s="2"/>
    </row>
    <row r="16" spans="1:8" x14ac:dyDescent="0.25">
      <c r="A16" s="2"/>
      <c r="B16" s="101" t="s">
        <v>152</v>
      </c>
      <c r="C16" s="30">
        <v>2016</v>
      </c>
      <c r="D16" s="30">
        <v>10</v>
      </c>
      <c r="E16" s="12">
        <v>80214</v>
      </c>
      <c r="F16" s="12">
        <f t="shared" si="0"/>
        <v>8021.4</v>
      </c>
      <c r="G16" s="23" t="s">
        <v>4</v>
      </c>
      <c r="H16" s="2"/>
    </row>
    <row r="17" spans="1:8" x14ac:dyDescent="0.25">
      <c r="A17" s="2"/>
      <c r="B17" s="101" t="s">
        <v>153</v>
      </c>
      <c r="C17" s="30">
        <v>2016</v>
      </c>
      <c r="D17" s="30">
        <v>10</v>
      </c>
      <c r="E17" s="12">
        <v>35000</v>
      </c>
      <c r="F17" s="12">
        <f t="shared" si="0"/>
        <v>3500</v>
      </c>
      <c r="G17" s="23" t="s">
        <v>4</v>
      </c>
      <c r="H17" s="2"/>
    </row>
    <row r="18" spans="1:8" ht="26.25" x14ac:dyDescent="0.25">
      <c r="A18" s="2"/>
      <c r="B18" s="101" t="s">
        <v>154</v>
      </c>
      <c r="C18" s="30">
        <v>2016</v>
      </c>
      <c r="D18" s="30">
        <v>10</v>
      </c>
      <c r="E18" s="12">
        <v>337433</v>
      </c>
      <c r="F18" s="12">
        <f t="shared" si="0"/>
        <v>33743.300000000003</v>
      </c>
      <c r="G18" s="23" t="s">
        <v>4</v>
      </c>
      <c r="H18" s="2"/>
    </row>
    <row r="19" spans="1:8" x14ac:dyDescent="0.25">
      <c r="A19" s="2"/>
      <c r="B19" s="101" t="s">
        <v>155</v>
      </c>
      <c r="C19" s="30">
        <v>2016</v>
      </c>
      <c r="D19" s="30">
        <v>75</v>
      </c>
      <c r="E19" s="12">
        <v>3013703</v>
      </c>
      <c r="F19" s="12">
        <f t="shared" si="0"/>
        <v>40182.706666666665</v>
      </c>
      <c r="G19" s="23" t="s">
        <v>4</v>
      </c>
      <c r="H19" s="2"/>
    </row>
    <row r="20" spans="1:8" x14ac:dyDescent="0.25">
      <c r="A20" s="2"/>
      <c r="B20" s="101" t="s">
        <v>156</v>
      </c>
      <c r="C20" s="30">
        <v>2016</v>
      </c>
      <c r="D20" s="30">
        <v>75</v>
      </c>
      <c r="E20" s="12">
        <v>11116500</v>
      </c>
      <c r="F20" s="12">
        <f t="shared" si="0"/>
        <v>148220</v>
      </c>
      <c r="G20" s="23" t="s">
        <v>4</v>
      </c>
      <c r="H20" s="2"/>
    </row>
    <row r="21" spans="1:8" x14ac:dyDescent="0.25">
      <c r="A21" s="2"/>
      <c r="B21" s="101" t="s">
        <v>157</v>
      </c>
      <c r="C21" s="30">
        <v>2016</v>
      </c>
      <c r="D21" s="30">
        <v>75</v>
      </c>
      <c r="E21" s="12">
        <v>2948388</v>
      </c>
      <c r="F21" s="12">
        <f t="shared" si="0"/>
        <v>39311.839999999997</v>
      </c>
      <c r="G21" s="23" t="s">
        <v>4</v>
      </c>
      <c r="H21" s="2"/>
    </row>
    <row r="22" spans="1:8" x14ac:dyDescent="0.25">
      <c r="A22" s="2"/>
      <c r="B22" s="101" t="s">
        <v>158</v>
      </c>
      <c r="C22" s="30">
        <v>2016</v>
      </c>
      <c r="D22" s="30">
        <v>75</v>
      </c>
      <c r="E22" s="12">
        <v>877948</v>
      </c>
      <c r="F22" s="12">
        <f t="shared" si="0"/>
        <v>11705.973333333333</v>
      </c>
      <c r="G22" s="23" t="s">
        <v>4</v>
      </c>
      <c r="H22" s="2"/>
    </row>
    <row r="23" spans="1:8" x14ac:dyDescent="0.25">
      <c r="A23" s="2"/>
      <c r="B23" s="101" t="s">
        <v>159</v>
      </c>
      <c r="C23" s="30">
        <v>2016</v>
      </c>
      <c r="D23" s="30">
        <v>75</v>
      </c>
      <c r="E23" s="12">
        <v>574976</v>
      </c>
      <c r="F23" s="12">
        <f t="shared" si="0"/>
        <v>7666.3466666666664</v>
      </c>
      <c r="G23" s="23" t="s">
        <v>4</v>
      </c>
      <c r="H23" s="2"/>
    </row>
    <row r="24" spans="1:8" x14ac:dyDescent="0.25">
      <c r="A24" s="2"/>
      <c r="B24" s="101" t="s">
        <v>160</v>
      </c>
      <c r="C24" s="30">
        <v>2016</v>
      </c>
      <c r="D24" s="30">
        <v>75</v>
      </c>
      <c r="E24" s="12">
        <v>1556162</v>
      </c>
      <c r="F24" s="12">
        <f t="shared" si="0"/>
        <v>20748.826666666668</v>
      </c>
      <c r="G24" s="23" t="s">
        <v>4</v>
      </c>
      <c r="H24" s="2"/>
    </row>
    <row r="25" spans="1:8" x14ac:dyDescent="0.25">
      <c r="A25" s="2"/>
      <c r="B25" s="101" t="s">
        <v>161</v>
      </c>
      <c r="C25" s="30">
        <v>2016</v>
      </c>
      <c r="D25" s="30">
        <v>75</v>
      </c>
      <c r="E25" s="12">
        <v>4452475</v>
      </c>
      <c r="F25" s="12">
        <f t="shared" si="0"/>
        <v>59366.333333333336</v>
      </c>
      <c r="G25" s="23" t="s">
        <v>4</v>
      </c>
      <c r="H25" s="2"/>
    </row>
    <row r="26" spans="1:8" x14ac:dyDescent="0.25">
      <c r="A26" s="2"/>
      <c r="B26" s="101" t="s">
        <v>162</v>
      </c>
      <c r="C26" s="30">
        <v>2016</v>
      </c>
      <c r="D26" s="30">
        <v>75</v>
      </c>
      <c r="E26" s="12">
        <v>2453028</v>
      </c>
      <c r="F26" s="12">
        <f t="shared" si="0"/>
        <v>32707.040000000001</v>
      </c>
      <c r="G26" s="23" t="s">
        <v>4</v>
      </c>
      <c r="H26" s="2"/>
    </row>
    <row r="27" spans="1:8" ht="26.25" x14ac:dyDescent="0.25">
      <c r="A27" s="2"/>
      <c r="B27" s="101" t="s">
        <v>163</v>
      </c>
      <c r="C27" s="30">
        <v>2016</v>
      </c>
      <c r="D27" s="30">
        <v>30</v>
      </c>
      <c r="E27" s="12">
        <v>144515</v>
      </c>
      <c r="F27" s="12">
        <f t="shared" si="0"/>
        <v>4817.166666666667</v>
      </c>
      <c r="G27" s="23" t="s">
        <v>4</v>
      </c>
      <c r="H27" s="2"/>
    </row>
    <row r="28" spans="1:8" ht="26.25" x14ac:dyDescent="0.25">
      <c r="A28" s="2"/>
      <c r="B28" s="101" t="s">
        <v>164</v>
      </c>
      <c r="C28" s="30">
        <v>2016</v>
      </c>
      <c r="D28" s="30">
        <v>50</v>
      </c>
      <c r="E28" s="12">
        <v>283030</v>
      </c>
      <c r="F28" s="12">
        <f t="shared" si="0"/>
        <v>5660.6</v>
      </c>
      <c r="G28" s="23" t="s">
        <v>4</v>
      </c>
      <c r="H28" s="2"/>
    </row>
    <row r="29" spans="1:8" x14ac:dyDescent="0.25">
      <c r="A29" s="2"/>
      <c r="B29" s="101" t="s">
        <v>165</v>
      </c>
      <c r="C29" s="30">
        <v>2016</v>
      </c>
      <c r="D29" s="30">
        <v>20</v>
      </c>
      <c r="E29" s="12">
        <v>224638</v>
      </c>
      <c r="F29" s="12">
        <f t="shared" si="0"/>
        <v>11231.9</v>
      </c>
      <c r="G29" s="23" t="s">
        <v>4</v>
      </c>
      <c r="H29" s="2"/>
    </row>
    <row r="30" spans="1:8" x14ac:dyDescent="0.25">
      <c r="A30" s="2"/>
      <c r="B30" s="101" t="s">
        <v>166</v>
      </c>
      <c r="C30" s="30">
        <v>2016</v>
      </c>
      <c r="D30" s="30">
        <v>10</v>
      </c>
      <c r="E30" s="12">
        <v>48905</v>
      </c>
      <c r="F30" s="12">
        <f t="shared" si="0"/>
        <v>4890.5</v>
      </c>
      <c r="G30" s="23" t="s">
        <v>4</v>
      </c>
      <c r="H30" s="2"/>
    </row>
    <row r="31" spans="1:8" ht="26.25" x14ac:dyDescent="0.25">
      <c r="A31" s="2"/>
      <c r="B31" s="101" t="s">
        <v>167</v>
      </c>
      <c r="C31" s="30">
        <v>2016</v>
      </c>
      <c r="D31" s="30">
        <v>50</v>
      </c>
      <c r="E31" s="12">
        <v>898728</v>
      </c>
      <c r="F31" s="12">
        <f t="shared" si="0"/>
        <v>17974.560000000001</v>
      </c>
      <c r="G31" s="23" t="s">
        <v>4</v>
      </c>
      <c r="H31" s="2"/>
    </row>
    <row r="32" spans="1:8" ht="26.25" x14ac:dyDescent="0.25">
      <c r="A32" s="2"/>
      <c r="B32" s="101" t="s">
        <v>168</v>
      </c>
      <c r="C32" s="30">
        <v>2016</v>
      </c>
      <c r="D32" s="30">
        <v>20</v>
      </c>
      <c r="E32" s="12">
        <v>1813248</v>
      </c>
      <c r="F32" s="12">
        <f t="shared" si="0"/>
        <v>90662.399999999994</v>
      </c>
      <c r="G32" s="23" t="s">
        <v>4</v>
      </c>
      <c r="H32" s="2"/>
    </row>
    <row r="33" spans="1:8" x14ac:dyDescent="0.25">
      <c r="A33" s="2"/>
      <c r="B33" s="101" t="s">
        <v>169</v>
      </c>
      <c r="C33" s="30">
        <v>2016</v>
      </c>
      <c r="D33" s="30">
        <v>10</v>
      </c>
      <c r="E33" s="12">
        <v>729921</v>
      </c>
      <c r="F33" s="12">
        <f t="shared" si="0"/>
        <v>72992.100000000006</v>
      </c>
      <c r="G33" s="23" t="s">
        <v>4</v>
      </c>
      <c r="H33" s="2"/>
    </row>
    <row r="34" spans="1:8" ht="26.25" x14ac:dyDescent="0.25">
      <c r="A34" s="2"/>
      <c r="B34" s="101" t="s">
        <v>170</v>
      </c>
      <c r="C34" s="30">
        <v>2016</v>
      </c>
      <c r="D34" s="30">
        <v>20</v>
      </c>
      <c r="E34" s="12">
        <v>181010</v>
      </c>
      <c r="F34" s="12">
        <f t="shared" si="0"/>
        <v>9050.5</v>
      </c>
      <c r="G34" s="23" t="s">
        <v>4</v>
      </c>
      <c r="H34" s="2"/>
    </row>
    <row r="35" spans="1:8" ht="26.25" x14ac:dyDescent="0.25">
      <c r="A35" s="2"/>
      <c r="B35" s="101" t="s">
        <v>171</v>
      </c>
      <c r="C35" s="30">
        <v>2016</v>
      </c>
      <c r="D35" s="30">
        <v>10</v>
      </c>
      <c r="E35" s="12">
        <v>98393</v>
      </c>
      <c r="F35" s="12">
        <f t="shared" si="0"/>
        <v>9839.2999999999993</v>
      </c>
      <c r="G35" s="23" t="s">
        <v>4</v>
      </c>
      <c r="H35" s="2"/>
    </row>
    <row r="36" spans="1:8" ht="39" x14ac:dyDescent="0.25">
      <c r="A36" s="2"/>
      <c r="B36" s="101" t="s">
        <v>172</v>
      </c>
      <c r="C36" s="30">
        <v>2016</v>
      </c>
      <c r="D36" s="30">
        <v>50</v>
      </c>
      <c r="E36" s="12">
        <v>632747</v>
      </c>
      <c r="F36" s="12">
        <f t="shared" si="0"/>
        <v>12654.94</v>
      </c>
      <c r="G36" s="23" t="s">
        <v>4</v>
      </c>
      <c r="H36" s="2"/>
    </row>
    <row r="37" spans="1:8" x14ac:dyDescent="0.25">
      <c r="A37" s="2"/>
      <c r="B37" s="101" t="s">
        <v>173</v>
      </c>
      <c r="C37" s="30">
        <v>2016</v>
      </c>
      <c r="D37" s="30">
        <v>50</v>
      </c>
      <c r="E37" s="12">
        <v>1199770</v>
      </c>
      <c r="F37" s="12">
        <f t="shared" si="0"/>
        <v>23995.4</v>
      </c>
      <c r="G37" s="23" t="s">
        <v>4</v>
      </c>
      <c r="H37" s="2"/>
    </row>
    <row r="38" spans="1:8" x14ac:dyDescent="0.25">
      <c r="A38" s="2"/>
      <c r="B38" s="101" t="s">
        <v>174</v>
      </c>
      <c r="C38" s="30">
        <v>2016</v>
      </c>
      <c r="D38" s="30">
        <v>75</v>
      </c>
      <c r="E38" s="12">
        <v>199693</v>
      </c>
      <c r="F38" s="12">
        <f t="shared" si="0"/>
        <v>2662.5733333333333</v>
      </c>
      <c r="G38" s="23" t="s">
        <v>4</v>
      </c>
      <c r="H38" s="2"/>
    </row>
    <row r="39" spans="1:8" x14ac:dyDescent="0.25">
      <c r="A39" s="2"/>
      <c r="B39" s="101" t="s">
        <v>175</v>
      </c>
      <c r="C39" s="30">
        <v>2016</v>
      </c>
      <c r="D39" s="30">
        <v>75</v>
      </c>
      <c r="E39" s="12">
        <v>58617</v>
      </c>
      <c r="F39" s="12">
        <f t="shared" si="0"/>
        <v>781.56</v>
      </c>
      <c r="G39" s="23" t="s">
        <v>4</v>
      </c>
      <c r="H39" s="2"/>
    </row>
    <row r="40" spans="1:8" x14ac:dyDescent="0.25">
      <c r="A40" s="2"/>
      <c r="B40" s="101" t="s">
        <v>176</v>
      </c>
      <c r="C40" s="30">
        <v>2016</v>
      </c>
      <c r="D40" s="30">
        <v>5</v>
      </c>
      <c r="E40" s="12">
        <v>710320</v>
      </c>
      <c r="F40" s="12">
        <f t="shared" si="0"/>
        <v>142064</v>
      </c>
      <c r="G40" s="23" t="s">
        <v>4</v>
      </c>
      <c r="H40" s="2"/>
    </row>
    <row r="41" spans="1:8" x14ac:dyDescent="0.25">
      <c r="A41" s="2"/>
      <c r="B41" s="78" t="s">
        <v>76</v>
      </c>
      <c r="C41" s="79"/>
      <c r="D41" s="79"/>
      <c r="E41" s="80"/>
      <c r="F41" s="21">
        <f>SUM(F10:F40)</f>
        <v>838130.1166666667</v>
      </c>
      <c r="G41" s="22" t="s">
        <v>4</v>
      </c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</sheetData>
  <sheetProtection password="DFE9" sheet="1" objects="1" scenarios="1"/>
  <mergeCells count="4">
    <mergeCell ref="B41:E4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2018-08-13T09:06:06Z</dcterms:modified>
</cp:coreProperties>
</file>