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E3" i="16" l="1"/>
  <c r="D3" i="16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E4" i="16" l="1"/>
  <c r="G3" i="16" l="1"/>
  <c r="F3" i="17"/>
  <c r="G3" i="17"/>
  <c r="D4" i="16" l="1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E6" i="16"/>
  <c r="E5" i="16"/>
  <c r="G5" i="17"/>
  <c r="F4" i="17"/>
  <c r="E5" i="17"/>
  <c r="G4" i="17"/>
  <c r="E4" i="17"/>
  <c r="F5" i="17"/>
  <c r="D6" i="16"/>
  <c r="J3" i="24"/>
  <c r="D5" i="16"/>
  <c r="F3" i="16" s="1"/>
  <c r="M3" i="24" l="1"/>
  <c r="B9" i="12" s="1"/>
  <c r="B10" i="12" s="1"/>
  <c r="H3" i="17"/>
  <c r="B4" i="12" s="1"/>
  <c r="I2" i="15"/>
  <c r="K2" i="15" s="1"/>
  <c r="B2" i="12" s="1"/>
  <c r="H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<sst xmlns="http://schemas.openxmlformats.org/spreadsheetml/2006/main" count="111" uniqueCount="75">
  <si>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</si>
  <si>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</si>
  <si>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</si>
  <si>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</si>
  <si>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</si>
  <si>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</si>
  <si>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</si>
  <si>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</si>
  <si>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</si>
  <si>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</si>
  <si>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</si>
  <si>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</si>
  <si>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</si>
  <si>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</si>
  <si>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</si>
  <si>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</si>
  <si>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</si>
  <si>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</si>
  <si>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</si>
  <si>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</si>
  <si>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</si>
  <si>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</si>
  <si>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Skærpede rensningskrav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</si>
  <si>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</si>
  <si>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</si>
  <si>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</si>
  <si>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</si>
  <si>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</si>
  <si>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</si>
  <si>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</si>
  <si>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</si>
  <si>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</si>
  <si>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</si>
  <si>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</si>
  <si>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</si>
  <si>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</si>
  <si>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</si>
  <si>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</si>
  <si>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</si>
  <si>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</si>
  <si>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</si>
  <si>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</si>
  <si>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</si>
  <si>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</si>
  <si>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</si>
  <si>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</si>
  <si>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</si>
  <si>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</si>
  <si>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</si>
  <si>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Regnvandspumpe (drift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</si>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</sst>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28471403.471775997</v>
      </c>
      <c r="C2" t="s">
        <v>11</v>
      </c>
    </row>
    <row r="3" spans="1:3" s="2" customFormat="1" x14ac:dyDescent="0.25">
      <c r="A3" s="5" t="s">
        <v>8</v>
      </c>
      <c r="B3" s="36">
        <f>'Miljø- og servicemål'!H3</f>
        <v>162257.39851450847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127279.79719999999</v>
      </c>
      <c r="C4" t="s">
        <v>11</v>
      </c>
    </row>
    <row r="5" spans="1:3" s="26" customFormat="1" x14ac:dyDescent="0.25">
      <c r="A5" s="3" t="s">
        <v>12</v>
      </c>
      <c r="B5" s="48">
        <f>SUM(B2:B4)</f>
        <v>28760940.667490508</v>
      </c>
      <c r="C5" s="62" t="s">
        <v>11</v>
      </c>
    </row>
    <row r="6" spans="1:3" x14ac:dyDescent="0.25">
      <c r="A6" s="47" t="s">
        <v>0</v>
      </c>
      <c r="B6" s="38">
        <f>Investeringer!E3</f>
        <v>55432612.30752673</v>
      </c>
      <c r="C6" s="23" t="s">
        <v>11</v>
      </c>
    </row>
    <row r="7" spans="1:3" x14ac:dyDescent="0.25">
      <c r="A7" s="4" t="s">
        <v>1</v>
      </c>
      <c r="B7" s="35">
        <f>Investeringer!F3</f>
        <v>15819416.572198899</v>
      </c>
      <c r="C7" t="s">
        <v>11</v>
      </c>
    </row>
    <row r="8" spans="1:3" x14ac:dyDescent="0.25">
      <c r="A8" s="4" t="s">
        <v>2</v>
      </c>
      <c r="B8" s="35">
        <f>Investeringer!G3</f>
        <v>841327.15987418895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9590621.1223799996</v>
      </c>
      <c r="C9" t="s">
        <v>11</v>
      </c>
    </row>
    <row r="10" spans="1:3" s="22" customFormat="1" x14ac:dyDescent="0.25">
      <c r="A10" s="3" t="s">
        <v>47</v>
      </c>
      <c r="B10" s="48">
        <f>SUM(B6:B9)</f>
        <v>81683977.161979824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1623093</v>
      </c>
      <c r="C11" t="s">
        <v>11</v>
      </c>
    </row>
    <row r="12" spans="1:3" s="22" customFormat="1" x14ac:dyDescent="0.25">
      <c r="A12" s="3" t="s">
        <v>68</v>
      </c>
      <c r="B12" s="48">
        <f>SUM(B11:B11)</f>
        <v>1623093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58</v>
      </c>
      <c r="B14" s="37">
        <f>SUM(B5,B10,B12)</f>
        <v>112068010.82947034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52</v>
      </c>
      <c r="B16" s="37">
        <f>B14*Pristalsregulering!C8*Pristalsregulering!C9</f>
        <v>113060007.72364998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59</v>
      </c>
      <c r="D1" s="59" t="s">
        <v>60</v>
      </c>
      <c r="E1" s="59" t="s">
        <v>53</v>
      </c>
      <c r="F1" s="52" t="s">
        <v>61</v>
      </c>
      <c r="G1" s="52" t="s">
        <v>69</v>
      </c>
      <c r="H1" s="52" t="s">
        <v>62</v>
      </c>
      <c r="I1" s="52" t="s">
        <v>48</v>
      </c>
      <c r="J1" s="11" t="s">
        <v>63</v>
      </c>
      <c r="K1" s="11" t="s">
        <v>64</v>
      </c>
    </row>
    <row r="2" spans="1:11" s="23" customFormat="1" ht="15.75" thickTop="1" x14ac:dyDescent="0.25">
      <c r="A2" s="28">
        <v>2015</v>
      </c>
      <c r="B2" s="49">
        <v>25095675</v>
      </c>
      <c r="C2" s="49">
        <v>0</v>
      </c>
      <c r="D2" s="49">
        <f>B2+C2</f>
        <v>25095675</v>
      </c>
      <c r="E2" s="50">
        <f>D2</f>
        <v>25095675</v>
      </c>
      <c r="F2" s="49">
        <v>29277546.847983878</v>
      </c>
      <c r="G2" s="49">
        <v>0</v>
      </c>
      <c r="H2" s="49">
        <f>F2-G2</f>
        <v>29277546.847983878</v>
      </c>
      <c r="I2" s="49">
        <f>AVERAGEIF(E2:E4,"&lt;&gt;0")</f>
        <v>28471403.471775997</v>
      </c>
      <c r="J2" s="49">
        <v>22446371.50871959</v>
      </c>
      <c r="K2" s="39">
        <f>IF(H2&gt;I2,IF(I2&gt;J2,I2,J2),H2)</f>
        <v>28471403.471775997</v>
      </c>
    </row>
    <row r="3" spans="1:11" s="23" customFormat="1" x14ac:dyDescent="0.25">
      <c r="A3" s="28">
        <v>2014</v>
      </c>
      <c r="B3" s="49">
        <v>27586767</v>
      </c>
      <c r="C3" s="49"/>
      <c r="D3" s="49">
        <f t="shared" ref="D3:D4" si="0">B3+C3</f>
        <v>27586767</v>
      </c>
      <c r="E3" s="50">
        <f>D3*Pristalsregulering!C7</f>
        <v>27608836.413599998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32200544</v>
      </c>
      <c r="C4" s="49"/>
      <c r="D4" s="49">
        <f t="shared" si="0"/>
        <v>32200544</v>
      </c>
      <c r="E4" s="50">
        <f>D4*Pristalsregulering!$C$6*Pristalsregulering!$C$7</f>
        <v>32709699.001727995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3" width="30.7109375" style="22" customWidth="1"/>
    <col min="4" max="4" width="30.7109375" style="55" customWidth="1"/>
    <col min="5" max="5" width="30.7109375" style="22" customWidth="1"/>
    <col min="6" max="6" width="30.7109375" style="55" customWidth="1"/>
    <col min="7" max="7" width="30.7109375" style="22" customWidth="1"/>
    <col min="8" max="8" width="30.7109375" style="55" customWidth="1"/>
    <col min="9" max="9" width="9.140625" hidden="1" customWidth="1"/>
    <col min="10" max="14" width="0" hidden="1" customWidth="1"/>
    <col min="15" max="15" width="9.140625" hidden="1" customWidth="1"/>
    <col min="16" max="56" width="0" hidden="1" customWidth="1"/>
    <col min="57" max="57" width="9.140625" hidden="1" customWidth="1"/>
    <col min="58" max="62" width="0" hidden="1" customWidth="1"/>
    <col min="63" max="63" width="9.140625" hidden="1" customWidth="1"/>
    <col min="64" max="71" width="0" hidden="1" customWidth="1"/>
    <col min="72" max="72" width="9.140625" hidden="1" customWidth="1"/>
    <col min="73" max="77" width="0" hidden="1" customWidth="1"/>
    <col min="78" max="78" width="9.140625" hidden="1" customWidth="1"/>
    <col min="79" max="119" width="0" hidden="1" customWidth="1"/>
    <col min="120" max="120" width="9.140625" hidden="1" customWidth="1"/>
    <col min="121" max="125" width="0" hidden="1" customWidth="1"/>
    <col min="126" max="126" width="9.140625" hidden="1" customWidth="1"/>
    <col min="127" max="167" width="0" hidden="1" customWidth="1"/>
    <col min="168" max="168" width="9.140625" hidden="1" customWidth="1"/>
    <col min="169" max="173" width="0" hidden="1" customWidth="1"/>
    <col min="174" max="174" width="9.140625" hidden="1" customWidth="1"/>
    <col min="175" max="182" width="0" hidden="1" customWidth="1"/>
    <col min="183" max="183" width="9.140625" hidden="1" customWidth="1"/>
    <col min="184" max="188" width="0" hidden="1" customWidth="1"/>
    <col min="189" max="189" width="9.140625" hidden="1" customWidth="1"/>
    <col min="190" max="230" width="0" hidden="1" customWidth="1"/>
    <col min="231" max="231" width="9.140625" hidden="1" customWidth="1"/>
    <col min="232" max="236" width="0" hidden="1" customWidth="1"/>
    <col min="237" max="237" width="9.140625" hidden="1" customWidth="1"/>
    <col min="238" max="278" width="0" hidden="1" customWidth="1"/>
    <col min="279" max="279" width="9.140625" hidden="1" customWidth="1"/>
    <col min="280" max="284" width="0" hidden="1" customWidth="1"/>
    <col min="285" max="285" width="9.140625" hidden="1" customWidth="1"/>
    <col min="286" max="287" width="0" hidden="1" customWidth="1"/>
    <col min="288" max="288" width="9.140625" hidden="1" customWidth="1"/>
    <col min="289" max="293" width="0" hidden="1" customWidth="1"/>
    <col min="294" max="294" width="9.140625" hidden="1" customWidth="1"/>
    <col min="295" max="335" width="0" hidden="1" customWidth="1"/>
    <col min="336" max="336" width="9.140625" hidden="1" customWidth="1"/>
    <col min="337" max="341" width="0" hidden="1" customWidth="1"/>
    <col min="342" max="16384" width="9.140625" hidden="1"/>
  </cols>
  <sheetData>
    <row r="1" spans="1:8" s="27" customFormat="1" ht="15.75" thickBot="1" x14ac:dyDescent="0.3">
      <c r="A1" s="9"/>
      <c r="B1" s="33" t="s">
        <v>71</v>
      </c>
      <c r="C1" s="33"/>
      <c r="D1" s="63" t="s">
        <v>72</v>
      </c>
      <c r="E1" s="10"/>
      <c r="F1" s="63" t="s">
        <v>73</v>
      </c>
      <c r="G1" s="10"/>
      <c r="H1" s="63"/>
    </row>
    <row r="2" spans="1:8" ht="15.75" thickTop="1" x14ac:dyDescent="0.25">
      <c r="A2" s="17" t="s">
        <v>13</v>
      </c>
      <c r="B2" s="34" t="s">
        <v>22</v>
      </c>
      <c r="C2" s="34" t="s">
        <v>49</v>
      </c>
      <c r="D2" s="56" t="s">
        <v>22</v>
      </c>
      <c r="E2" s="34" t="s">
        <v>49</v>
      </c>
      <c r="F2" s="56" t="s">
        <v>22</v>
      </c>
      <c r="G2" s="34" t="s">
        <v>49</v>
      </c>
      <c r="H2" s="53" t="s">
        <v>23</v>
      </c>
    </row>
    <row r="3" spans="1:8" s="22" customFormat="1" x14ac:dyDescent="0.25">
      <c r="A3" s="28">
        <v>2016</v>
      </c>
      <c r="B3" s="72">
        <v>0</v>
      </c>
      <c r="C3" s="72">
        <v>26157</v>
      </c>
      <c r="D3" s="45">
        <f>B3/Pristalsregulering!$C$8</f>
        <v>0</v>
      </c>
      <c r="E3" s="35">
        <f>C3/Pristalsregulering!$C$8</f>
        <v>26256.775747841799</v>
      </c>
      <c r="F3" s="45">
        <f>IF(D4=0,0,AVERAGEIF(D4:D6,"&lt;&gt;0"))+D3</f>
        <v>136000.62276666667</v>
      </c>
      <c r="G3" s="38">
        <f>IF(E4=0,0,AVERAGEIF(E4:E6,"&lt;&gt;0"))+E3</f>
        <v>26256.775747841799</v>
      </c>
      <c r="H3" s="57">
        <f>SUM(F3:G3)</f>
        <v>162257.39851450847</v>
      </c>
    </row>
    <row r="4" spans="1:8" x14ac:dyDescent="0.25">
      <c r="A4" s="28">
        <v>2015</v>
      </c>
      <c r="B4" s="35">
        <v>141860</v>
      </c>
      <c r="C4" s="35"/>
      <c r="D4" s="45">
        <f>B4</f>
        <v>141860</v>
      </c>
      <c r="E4" s="35">
        <f>C4</f>
        <v>0</v>
      </c>
      <c r="F4" s="45"/>
      <c r="G4" s="38"/>
      <c r="H4" s="54"/>
    </row>
    <row r="5" spans="1:8" x14ac:dyDescent="0.25">
      <c r="A5" s="28">
        <v>2014</v>
      </c>
      <c r="B5" s="35">
        <v>151767</v>
      </c>
      <c r="C5" s="35"/>
      <c r="D5" s="45">
        <f>B5*Pristalsregulering!$C$7</f>
        <v>151888.4136</v>
      </c>
      <c r="E5" s="35">
        <f>C5*Pristalsregulering!$C$7</f>
        <v>0</v>
      </c>
      <c r="F5" s="45"/>
      <c r="G5" s="38"/>
      <c r="H5" s="45"/>
    </row>
    <row r="6" spans="1:8" x14ac:dyDescent="0.25">
      <c r="A6" s="28">
        <v>2013</v>
      </c>
      <c r="B6" s="35">
        <v>112475</v>
      </c>
      <c r="C6" s="35"/>
      <c r="D6" s="45">
        <f>B6*Pristalsregulering!$C$7*Pristalsregulering!$C$6</f>
        <v>114253.45469999999</v>
      </c>
      <c r="E6" s="35">
        <f>C6*Pristalsregulering!$C$7*Pristalsregulering!$C$6</f>
        <v>0</v>
      </c>
      <c r="F6" s="45"/>
      <c r="G6" s="38"/>
      <c r="H6" s="45"/>
    </row>
    <row r="7" spans="1:8" hidden="1" x14ac:dyDescent="0.25"/>
    <row r="8" spans="1:8" hidden="1" x14ac:dyDescent="0.25"/>
    <row r="9" spans="1:8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3" t="s">
        <v>24</v>
      </c>
      <c r="C1" s="74"/>
      <c r="D1" s="74"/>
      <c r="E1" s="75" t="s">
        <v>54</v>
      </c>
      <c r="F1" s="76"/>
      <c r="G1" s="77"/>
      <c r="H1" s="29"/>
    </row>
    <row r="2" spans="1:8" s="21" customFormat="1" ht="15.75" thickTop="1" x14ac:dyDescent="0.25">
      <c r="A2" s="19" t="s">
        <v>13</v>
      </c>
      <c r="B2" s="16" t="s">
        <v>25</v>
      </c>
      <c r="C2" s="20" t="s">
        <v>26</v>
      </c>
      <c r="D2" s="20" t="s">
        <v>27</v>
      </c>
      <c r="E2" s="16" t="s">
        <v>25</v>
      </c>
      <c r="F2" s="20" t="s">
        <v>26</v>
      </c>
      <c r="G2" s="46" t="s">
        <v>27</v>
      </c>
      <c r="H2" s="6" t="s">
        <v>29</v>
      </c>
    </row>
    <row r="3" spans="1:8" x14ac:dyDescent="0.25">
      <c r="A3" s="31">
        <v>2015</v>
      </c>
      <c r="B3" s="41">
        <v>22000</v>
      </c>
      <c r="C3" s="42">
        <v>103520</v>
      </c>
      <c r="D3" s="42">
        <v>0</v>
      </c>
      <c r="E3" s="41">
        <f>B3</f>
        <v>22000</v>
      </c>
      <c r="F3" s="42">
        <f t="shared" ref="F3:G3" si="0">C3</f>
        <v>103520</v>
      </c>
      <c r="G3" s="43">
        <f t="shared" si="0"/>
        <v>0</v>
      </c>
      <c r="H3" s="44">
        <f>IF(E3=0,0,AVERAGEIF(E3:E5,"&lt;&gt;0"))+IF(F3=0,0,AVERAGEIF(F3:F5,"&lt;&gt;0"))+IF(G3=0,0,AVERAGEIF(G3:G5,"&lt;&gt;0"))</f>
        <v>127279.79719999999</v>
      </c>
    </row>
    <row r="4" spans="1:8" x14ac:dyDescent="0.25">
      <c r="A4" s="31">
        <v>2014</v>
      </c>
      <c r="B4" s="41">
        <v>21800</v>
      </c>
      <c r="C4" s="42">
        <v>98000</v>
      </c>
      <c r="D4" s="42">
        <v>0</v>
      </c>
      <c r="E4" s="41">
        <f>B4*Pristalsregulering!$C$7</f>
        <v>21817.439999999999</v>
      </c>
      <c r="F4" s="42">
        <f>C4*Pristalsregulering!$C$7</f>
        <v>98078.399999999994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21500</v>
      </c>
      <c r="C5" s="42">
        <v>112800</v>
      </c>
      <c r="D5" s="42">
        <v>0</v>
      </c>
      <c r="E5" s="41">
        <f>B5*Pristalsregulering!$C$7*Pristalsregulering!$C$6</f>
        <v>21839.957999999995</v>
      </c>
      <c r="F5" s="42">
        <f>C5*Pristalsregulering!$C$7*Pristalsregulering!$C$6</f>
        <v>114583.59359999998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1"/>
      <c r="B1" s="76" t="s">
        <v>66</v>
      </c>
      <c r="C1" s="76"/>
      <c r="D1" s="77"/>
      <c r="E1" s="78" t="s">
        <v>67</v>
      </c>
      <c r="F1" s="78"/>
      <c r="G1" s="78"/>
    </row>
    <row r="2" spans="1:7" s="22" customFormat="1" ht="15.75" thickTop="1" x14ac:dyDescent="0.25">
      <c r="A2" s="69" t="s">
        <v>13</v>
      </c>
      <c r="B2" s="23" t="s">
        <v>65</v>
      </c>
      <c r="C2" s="23" t="s">
        <v>1</v>
      </c>
      <c r="D2" s="28" t="s">
        <v>74</v>
      </c>
      <c r="E2" s="22" t="s">
        <v>0</v>
      </c>
      <c r="F2" s="22" t="s">
        <v>1</v>
      </c>
      <c r="G2" s="22" t="s">
        <v>74</v>
      </c>
    </row>
    <row r="3" spans="1:7" s="22" customFormat="1" x14ac:dyDescent="0.25">
      <c r="A3" s="70">
        <v>2015</v>
      </c>
      <c r="B3" s="38">
        <v>50916381.925556846</v>
      </c>
      <c r="C3" s="38">
        <v>15666989.67333333</v>
      </c>
      <c r="D3" s="40">
        <v>838130.11666666705</v>
      </c>
      <c r="E3" s="35">
        <f>B3*Pristalsregulering!C2*Pristalsregulering!C3*Pristalsregulering!C4*Pristalsregulering!C5*Pristalsregulering!C6*Pristalsregulering!C7</f>
        <v>55432612.30752673</v>
      </c>
      <c r="F3" s="35">
        <v>15819416.572198899</v>
      </c>
      <c r="G3" s="35">
        <f xml:space="preserve"> D3/Pristalsregulering!$C$8</f>
        <v>841327.15987418895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3" t="s">
        <v>40</v>
      </c>
      <c r="C1" s="74"/>
      <c r="D1" s="74"/>
      <c r="E1" s="74"/>
      <c r="F1" s="75" t="s">
        <v>55</v>
      </c>
      <c r="G1" s="76"/>
      <c r="H1" s="76"/>
      <c r="I1" s="76"/>
      <c r="J1" s="79" t="s">
        <v>29</v>
      </c>
      <c r="K1" s="78"/>
      <c r="L1" s="80"/>
      <c r="M1" s="13"/>
    </row>
    <row r="2" spans="1:14" s="26" customFormat="1" ht="15.75" thickTop="1" x14ac:dyDescent="0.25">
      <c r="A2" s="19" t="s">
        <v>13</v>
      </c>
      <c r="B2" s="8" t="s">
        <v>41</v>
      </c>
      <c r="C2" s="7" t="s">
        <v>42</v>
      </c>
      <c r="D2" s="7" t="s">
        <v>43</v>
      </c>
      <c r="E2" s="51" t="s">
        <v>44</v>
      </c>
      <c r="F2" s="7" t="s">
        <v>41</v>
      </c>
      <c r="G2" s="7" t="s">
        <v>42</v>
      </c>
      <c r="H2" s="7" t="s">
        <v>43</v>
      </c>
      <c r="I2" s="51" t="s">
        <v>44</v>
      </c>
      <c r="J2" s="20" t="s">
        <v>45</v>
      </c>
      <c r="K2" s="20" t="s">
        <v>42</v>
      </c>
      <c r="L2" s="15" t="s">
        <v>70</v>
      </c>
      <c r="M2" s="6" t="s">
        <v>28</v>
      </c>
      <c r="N2" s="32"/>
    </row>
    <row r="3" spans="1:14" x14ac:dyDescent="0.25">
      <c r="A3" s="28">
        <v>2015</v>
      </c>
      <c r="B3" s="45">
        <v>175683</v>
      </c>
      <c r="C3" s="38">
        <v>9432317</v>
      </c>
      <c r="D3" s="38">
        <v>0</v>
      </c>
      <c r="E3" s="40">
        <v>0</v>
      </c>
      <c r="F3" s="38">
        <f>B3</f>
        <v>175683</v>
      </c>
      <c r="G3" s="38">
        <f>C3</f>
        <v>9432317</v>
      </c>
      <c r="H3" s="38">
        <f>D3</f>
        <v>0</v>
      </c>
      <c r="I3" s="40">
        <f>E3</f>
        <v>0</v>
      </c>
      <c r="J3" s="42">
        <f>AVERAGE(F3:F5)</f>
        <v>158304.12237999999</v>
      </c>
      <c r="K3" s="42">
        <f>G3</f>
        <v>9432317</v>
      </c>
      <c r="L3" s="43">
        <f>AVERAGE(H3:H5)+AVERAGE(I3:I5)</f>
        <v>0</v>
      </c>
      <c r="M3" s="44">
        <f>SUM(J3:L3)</f>
        <v>9590621.1223799996</v>
      </c>
      <c r="N3" s="23"/>
    </row>
    <row r="4" spans="1:14" x14ac:dyDescent="0.25">
      <c r="A4" s="28">
        <v>2014</v>
      </c>
      <c r="B4" s="45">
        <v>171359</v>
      </c>
      <c r="C4" s="38">
        <v>6384995</v>
      </c>
      <c r="D4" s="38">
        <v>0</v>
      </c>
      <c r="E4" s="40">
        <v>0</v>
      </c>
      <c r="F4" s="38">
        <f>IF(B4="","",B4*Pristalsregulering!$C$7)</f>
        <v>171496.08719999998</v>
      </c>
      <c r="G4" s="38">
        <f>IF(C4="","",C4*Pristalsregulering!$C$7)</f>
        <v>6390102.9959999993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125745</v>
      </c>
      <c r="C5" s="38">
        <v>3888208</v>
      </c>
      <c r="D5" s="38">
        <v>0</v>
      </c>
      <c r="E5" s="40">
        <v>0</v>
      </c>
      <c r="F5" s="38">
        <f>IF(B5="","",B5*Pristalsregulering!$C$7*Pristalsregulering!$C$6)</f>
        <v>127733.27993999998</v>
      </c>
      <c r="G5" s="38">
        <f>IF(C5="","",C5*Pristalsregulering!$C$7*Pristalsregulering!$C$6)</f>
        <v>3949688.3448959989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30</v>
      </c>
      <c r="C1" s="66" t="s">
        <v>31</v>
      </c>
      <c r="D1" s="66" t="s">
        <v>32</v>
      </c>
      <c r="E1" s="66" t="s">
        <v>33</v>
      </c>
      <c r="F1" s="66" t="s">
        <v>34</v>
      </c>
      <c r="G1" s="66" t="s">
        <v>35</v>
      </c>
      <c r="H1" s="66" t="s">
        <v>36</v>
      </c>
      <c r="I1" s="66" t="s">
        <v>37</v>
      </c>
      <c r="J1" s="66" t="s">
        <v>38</v>
      </c>
      <c r="K1" s="66" t="s">
        <v>56</v>
      </c>
      <c r="L1" s="67" t="s">
        <v>39</v>
      </c>
      <c r="M1" s="14" t="s">
        <v>28</v>
      </c>
    </row>
    <row r="2" spans="1:13" ht="15.75" thickTop="1" x14ac:dyDescent="0.25">
      <c r="A2" s="31">
        <v>2015</v>
      </c>
      <c r="B2" s="42">
        <v>16262</v>
      </c>
      <c r="C2" s="42">
        <v>0</v>
      </c>
      <c r="D2" s="42">
        <v>38311</v>
      </c>
      <c r="E2" s="42">
        <v>344814</v>
      </c>
      <c r="F2" s="42">
        <v>0</v>
      </c>
      <c r="G2" s="42">
        <v>0</v>
      </c>
      <c r="H2" s="42">
        <v>1223706</v>
      </c>
      <c r="I2" s="42">
        <v>0</v>
      </c>
      <c r="J2" s="42"/>
      <c r="K2" s="42"/>
      <c r="L2" s="43">
        <v>0</v>
      </c>
      <c r="M2" s="44">
        <f>SUM(B2:L2)</f>
        <v>1623093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46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46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57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50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51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2017-09-14T11:44:47Z</dcterms:modified>
</cp:coreProperties>
</file>