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E14" i="15" l="1"/>
  <c r="G9" i="9" l="1"/>
  <c r="G9" i="8"/>
  <c r="G13" i="9" l="1"/>
  <c r="F11" i="22" l="1"/>
  <c r="F12" i="22" l="1"/>
  <c r="E19" i="2" s="1"/>
  <c r="G13" i="10" l="1"/>
  <c r="E12" i="2" l="1"/>
  <c r="E21" i="2" s="1"/>
  <c r="G11" i="10" l="1"/>
  <c r="F18" i="20"/>
  <c r="F19" i="20" s="1"/>
  <c r="E16" i="2" s="1"/>
  <c r="G22" i="7"/>
  <c r="E13" i="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G16" i="9" s="1"/>
  <c r="D11" i="20"/>
  <c r="D12" i="20" s="1"/>
  <c r="E14" i="2" s="1"/>
  <c r="E18" i="2"/>
  <c r="E17" i="2"/>
  <c r="G12" i="8" l="1"/>
  <c r="E10" i="2" l="1"/>
  <c r="G18" i="19"/>
  <c r="G19" i="19" s="1"/>
  <c r="E11" i="2" s="1"/>
  <c r="G12" i="7"/>
  <c r="E10" i="15" l="1"/>
  <c r="E9" i="2"/>
  <c r="E15" i="13"/>
  <c r="F11" i="11"/>
  <c r="F32" i="11"/>
  <c r="E17" i="15" l="1"/>
  <c r="G17" i="15" s="1"/>
  <c r="E33" i="2" l="1"/>
  <c r="G11" i="9" l="1"/>
  <c r="G12" i="9" l="1"/>
  <c r="E35" i="13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33" i="11" s="1"/>
  <c r="E26" i="2"/>
  <c r="G26" i="2" s="1"/>
  <c r="G33" i="12" l="1"/>
  <c r="G35" i="12" s="1"/>
  <c r="E32" i="2" s="1"/>
  <c r="E28" i="13"/>
  <c r="G28" i="13" s="1"/>
  <c r="G17" i="9"/>
  <c r="E23" i="2" s="1"/>
  <c r="E34" i="2" l="1"/>
  <c r="G34" i="2" s="1"/>
  <c r="E22" i="2" l="1"/>
  <c r="E24" i="2" s="1"/>
  <c r="G24" i="2" l="1"/>
  <c r="E9" i="15" s="1"/>
  <c r="E12" i="15" l="1"/>
  <c r="E13" i="15"/>
  <c r="E15" i="15" l="1"/>
  <c r="G15" i="15" s="1"/>
  <c r="G18" i="15" s="1"/>
  <c r="G30" i="13"/>
  <c r="G36" i="13" s="1"/>
  <c r="E36" i="2" s="1"/>
  <c r="G36" i="2" s="1"/>
  <c r="G37" i="2" s="1"/>
</calcChain>
</file>

<file path=xl/sharedStrings.xml><?xml version="1.0" encoding="utf-8"?>
<sst xmlns="http://schemas.openxmlformats.org/spreadsheetml/2006/main" count="411" uniqueCount="211">
  <si>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</si>
  <si>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</si>
  <si>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</si>
  <si>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</si>
  <si>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</si>
  <si>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</si>
  <si>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</si>
  <si>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</si>
  <si>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</si>
  <si>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</si>
  <si>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</si>
  <si>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</si>
  <si>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</si>
  <si>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</si>
  <si>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</si>
  <si>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</si>
  <si>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</si>
  <si>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</si>
  <si>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</si>
  <si>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</si>
  <si>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</si>
  <si>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</si>
  <si>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</si>
  <si>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</si>
  <si>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</si>
  <si>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</si>
  <si>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</si>
  <si>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</si>
  <si>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</si>
  <si>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</si>
  <si>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</si>
  <si>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</si>
  <si>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</si>
  <si>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</si>
  <si>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</si>
  <si>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</si>
  <si>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</si>
  <si>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</si>
  <si>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</si>
  <si>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</si>
  <si>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</si>
  <si>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</si>
  <si>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</si>
  <si>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</si>
  <si>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</si>
  <si>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</si>
  <si>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</si>
  <si>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</si>
  <si>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</si>
  <si>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</si>
  <si>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</si>
  <si>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</si>
  <si>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</si>
  <si>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</si>
  <si>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</si>
  <si>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</si>
  <si>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</si>
  <si>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</si>
  <si>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</si>
  <si>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</si>
  <si>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</si>
  <si>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</si>
  <si>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</si>
  <si>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</si>
  <si>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</si>
  <si>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</si>
  <si>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</si>
  <si>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</si>
  <si>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</si>
  <si>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</si>
  <si>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</si>
  <si>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</si>
  <si>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</si>
  <si>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</si>
  <si>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</si>
  <si>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</si>
  <si>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</si>
  <si>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</si>
  <si>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</si>
  <si>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</si>
  <si>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</si>
  <si>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</si>
  <si>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</si>
  <si>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</si>
  <si>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</si>
  <si>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</si>
  <si>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</si>
  <si>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</si>
  <si>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</si>
  <si>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</si>
  <si>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</si>
  <si>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</si>
  <si>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</si>
  <si>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</si>
  <si>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</si>
  <si>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</si>
  <si>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</si>
  <si>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</si>
  <si>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</si>
  <si>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</si>
  <si>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</si>
  <si>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</si>
  <si>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</si>
  <si>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</si>
  <si>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</si>
  <si>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</si>
  <si>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</si>
  <si>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</si>
  <si>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</si>
  <si>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</si>
  <si>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</si>
  <si>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</si>
  <si>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</si>
  <si>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</si>
  <si>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</si>
  <si>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</si>
  <si>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</si>
  <si>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</si>
  <si>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</si>
  <si>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</si>
  <si>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</si>
  <si>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</si>
  <si>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</si>
  <si>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</si>
  <si>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</si>
  <si>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</si>
  <si>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</si>
  <si>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</si>
  <si>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</si>
  <si>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</si>
  <si>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</si>
  <si>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</si>
  <si>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</si>
  <si>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</si>
  <si>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</si>
  <si>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</si>
  <si>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</si>
  <si>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</si>
  <si>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</si>
  <si>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</si>
  <si>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</si>
  <si>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</si>
  <si>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</si>
  <si>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</si>
  <si>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</si>
  <si>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</si>
  <si>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</si>
  <si>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</si>
  <si>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</si>
  <si>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Jordbassin Klasse B</t>
  </si>
  <si>
    <t>Ledningsnet ≤ Ø 200 mm</t>
  </si>
  <si>
    <t>Ø 200 mm &lt; Ledningsnet ≤ Ø 500 mm</t>
  </si>
  <si>
    <t>Ø 500 mm &lt; Ledningsnet ≤ Ø 800 mm</t>
  </si>
  <si>
    <t>Strømpeforing ≤ Ø 200 mm</t>
  </si>
  <si>
    <t>Strømpeforing Ø 200 mm &lt; Ledningsnet ≤ Ø 500 mm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</si>
  <si>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</si>
  <si>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</si>
  <si>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</si>
  <si>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</si>
  <si>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Arbejdsplads</t>
  </si>
  <si>
    <t>Indløb med riste, Konstruktioner</t>
  </si>
  <si>
    <t>Indløb med riste, Mek/EL</t>
  </si>
  <si>
    <t>Indløb med riste, SRO</t>
  </si>
  <si>
    <t>Sand- og fedtfang, Mek/EL</t>
  </si>
  <si>
    <t>Sand- og fedtfang, SRO</t>
  </si>
  <si>
    <t>Forklaring, Mek/EL</t>
  </si>
  <si>
    <t>Forklaring, SRO</t>
  </si>
  <si>
    <t>Beluftningstanke, Mek/EL</t>
  </si>
  <si>
    <t>Beluftningstanke, SRO</t>
  </si>
  <si>
    <t>Efterklaringstanke, SRO</t>
  </si>
  <si>
    <t>Forafvanding, slam,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</si>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</sst>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7" t="s">
        <v>5</v>
      </c>
      <c r="E6" s="47"/>
      <c r="F6" s="47"/>
      <c r="G6" s="47"/>
      <c r="H6" s="4"/>
      <c r="I6" s="2"/>
    </row>
    <row r="7" spans="1:9" ht="15" customHeight="1" x14ac:dyDescent="0.25">
      <c r="A7" s="2"/>
      <c r="B7" s="2"/>
      <c r="C7" s="4"/>
      <c r="D7" s="47"/>
      <c r="E7" s="47"/>
      <c r="F7" s="47"/>
      <c r="G7" s="47"/>
      <c r="H7" s="4"/>
      <c r="I7" s="2"/>
    </row>
    <row r="8" spans="1:9" ht="15.75" x14ac:dyDescent="0.25">
      <c r="A8" s="2"/>
      <c r="B8" s="2"/>
      <c r="C8" s="5"/>
      <c r="D8" s="52" t="s">
        <v>124</v>
      </c>
      <c r="E8" s="52"/>
      <c r="F8" s="52"/>
      <c r="G8" s="5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1" t="s">
        <v>6</v>
      </c>
      <c r="E11" s="51"/>
      <c r="F11" s="51"/>
      <c r="G11" s="5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2" t="s">
        <v>69</v>
      </c>
      <c r="E13" s="63"/>
      <c r="F13" s="63"/>
      <c r="G13" s="64"/>
      <c r="H13" s="2"/>
      <c r="I13" s="2"/>
    </row>
    <row r="14" spans="1:9" x14ac:dyDescent="0.25">
      <c r="A14" s="2"/>
      <c r="B14" s="2"/>
      <c r="C14" s="7" t="s">
        <v>68</v>
      </c>
      <c r="D14" s="62" t="s">
        <v>70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53" t="s">
        <v>63</v>
      </c>
      <c r="E15" s="54"/>
      <c r="F15" s="54"/>
      <c r="G15" s="55"/>
      <c r="H15" s="2"/>
      <c r="I15" s="2"/>
    </row>
    <row r="16" spans="1:9" x14ac:dyDescent="0.25">
      <c r="A16" s="2"/>
      <c r="B16" s="2"/>
      <c r="C16" s="7" t="s">
        <v>9</v>
      </c>
      <c r="D16" s="53" t="s">
        <v>49</v>
      </c>
      <c r="E16" s="54"/>
      <c r="F16" s="54"/>
      <c r="G16" s="55"/>
      <c r="H16" s="2"/>
      <c r="I16" s="2"/>
    </row>
    <row r="17" spans="1:9" x14ac:dyDescent="0.25">
      <c r="A17" s="2"/>
      <c r="B17" s="2"/>
      <c r="C17" s="7" t="s">
        <v>10</v>
      </c>
      <c r="D17" s="56" t="s">
        <v>15</v>
      </c>
      <c r="E17" s="57"/>
      <c r="F17" s="57"/>
      <c r="G17" s="58"/>
      <c r="H17" s="2"/>
      <c r="I17" s="2"/>
    </row>
    <row r="18" spans="1:9" x14ac:dyDescent="0.25">
      <c r="A18" s="2"/>
      <c r="B18" s="2"/>
      <c r="C18" s="7" t="s">
        <v>11</v>
      </c>
      <c r="D18" s="56" t="s">
        <v>16</v>
      </c>
      <c r="E18" s="57"/>
      <c r="F18" s="57"/>
      <c r="G18" s="58"/>
      <c r="H18" s="2"/>
      <c r="I18" s="2"/>
    </row>
    <row r="19" spans="1:9" x14ac:dyDescent="0.25">
      <c r="A19" s="2"/>
      <c r="B19" s="2"/>
      <c r="C19" s="7" t="s">
        <v>12</v>
      </c>
      <c r="D19" s="59" t="s">
        <v>17</v>
      </c>
      <c r="E19" s="60"/>
      <c r="F19" s="60"/>
      <c r="G19" s="61"/>
      <c r="H19" s="2"/>
      <c r="I19" s="2"/>
    </row>
    <row r="20" spans="1:9" x14ac:dyDescent="0.25">
      <c r="A20" s="2"/>
      <c r="B20" s="2"/>
      <c r="C20" s="7" t="s">
        <v>13</v>
      </c>
      <c r="D20" s="48" t="s">
        <v>75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14</v>
      </c>
      <c r="D21" s="48" t="s">
        <v>100</v>
      </c>
      <c r="E21" s="49"/>
      <c r="F21" s="49"/>
      <c r="G21" s="50"/>
      <c r="H21" s="2"/>
      <c r="I21" s="2"/>
    </row>
    <row r="22" spans="1:9" x14ac:dyDescent="0.25">
      <c r="A22" s="2"/>
      <c r="B22" s="2"/>
      <c r="C22" s="7" t="s">
        <v>59</v>
      </c>
      <c r="D22" s="68" t="s">
        <v>144</v>
      </c>
      <c r="E22" s="69"/>
      <c r="F22" s="69"/>
      <c r="G22" s="70"/>
      <c r="H22" s="2"/>
      <c r="I22" s="2"/>
    </row>
    <row r="23" spans="1:9" x14ac:dyDescent="0.25">
      <c r="A23" s="2"/>
      <c r="B23" s="2"/>
      <c r="C23" s="7" t="s">
        <v>66</v>
      </c>
      <c r="D23" s="65" t="s">
        <v>65</v>
      </c>
      <c r="E23" s="66"/>
      <c r="F23" s="66"/>
      <c r="G23" s="67"/>
      <c r="H23" s="2"/>
      <c r="I23" s="2"/>
    </row>
    <row r="24" spans="1:9" x14ac:dyDescent="0.25">
      <c r="A24" s="2"/>
      <c r="B24" s="2"/>
      <c r="C24" s="7" t="s">
        <v>67</v>
      </c>
      <c r="D24" s="65" t="s">
        <v>64</v>
      </c>
      <c r="E24" s="66"/>
      <c r="F24" s="66"/>
      <c r="G24" s="67"/>
      <c r="H24" s="2"/>
      <c r="I24" s="2"/>
    </row>
    <row r="25" spans="1:9" x14ac:dyDescent="0.25">
      <c r="A25" s="2"/>
      <c r="B25" s="2"/>
      <c r="C25" s="7" t="s">
        <v>209</v>
      </c>
      <c r="D25" s="65" t="s">
        <v>210</v>
      </c>
      <c r="E25" s="66"/>
      <c r="F25" s="66"/>
      <c r="G25" s="67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190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86" t="s">
        <v>80</v>
      </c>
      <c r="C9" s="75"/>
      <c r="D9" s="75"/>
      <c r="E9" s="75"/>
      <c r="F9" s="76"/>
      <c r="G9" s="12">
        <v>3319367</v>
      </c>
      <c r="H9" s="23" t="s">
        <v>4</v>
      </c>
      <c r="I9" s="2"/>
    </row>
    <row r="10" spans="1:9" x14ac:dyDescent="0.25">
      <c r="A10" s="2"/>
      <c r="B10" s="86" t="s">
        <v>81</v>
      </c>
      <c r="C10" s="75"/>
      <c r="D10" s="75"/>
      <c r="E10" s="75"/>
      <c r="F10" s="76"/>
      <c r="G10" s="12">
        <v>5160500</v>
      </c>
      <c r="H10" s="23" t="s">
        <v>4</v>
      </c>
      <c r="I10" s="2"/>
    </row>
    <row r="11" spans="1:9" x14ac:dyDescent="0.25">
      <c r="A11" s="2"/>
      <c r="B11" s="71" t="s">
        <v>191</v>
      </c>
      <c r="C11" s="72"/>
      <c r="D11" s="72"/>
      <c r="E11" s="72"/>
      <c r="F11" s="73"/>
      <c r="G11" s="21">
        <f>G9-G10</f>
        <v>-1841133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192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86" t="s">
        <v>82</v>
      </c>
      <c r="C15" s="75"/>
      <c r="D15" s="75"/>
      <c r="E15" s="75"/>
      <c r="F15" s="76"/>
      <c r="G15" s="12">
        <v>1238772</v>
      </c>
      <c r="H15" s="23" t="s">
        <v>4</v>
      </c>
      <c r="I15" s="2"/>
    </row>
    <row r="16" spans="1:9" x14ac:dyDescent="0.25">
      <c r="A16" s="2"/>
      <c r="B16" s="86" t="s">
        <v>83</v>
      </c>
      <c r="C16" s="75"/>
      <c r="D16" s="75"/>
      <c r="E16" s="75"/>
      <c r="F16" s="76"/>
      <c r="G16" s="12">
        <v>1457000</v>
      </c>
      <c r="H16" s="23" t="s">
        <v>4</v>
      </c>
      <c r="I16" s="2"/>
    </row>
    <row r="17" spans="1:9" x14ac:dyDescent="0.25">
      <c r="A17" s="2"/>
      <c r="B17" s="71" t="s">
        <v>192</v>
      </c>
      <c r="C17" s="72"/>
      <c r="D17" s="72"/>
      <c r="E17" s="72"/>
      <c r="F17" s="73"/>
      <c r="G17" s="21">
        <f>G15-G16</f>
        <v>-218228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86" t="s">
        <v>84</v>
      </c>
      <c r="C21" s="75"/>
      <c r="D21" s="75"/>
      <c r="E21" s="75"/>
      <c r="F21" s="76"/>
      <c r="G21" s="12">
        <v>849957</v>
      </c>
      <c r="H21" s="23" t="s">
        <v>4</v>
      </c>
      <c r="I21" s="2"/>
    </row>
    <row r="22" spans="1:9" x14ac:dyDescent="0.25">
      <c r="A22" s="2"/>
      <c r="B22" s="86" t="s">
        <v>85</v>
      </c>
      <c r="C22" s="75"/>
      <c r="D22" s="75"/>
      <c r="E22" s="75"/>
      <c r="F22" s="76"/>
      <c r="G22" s="12">
        <v>804995</v>
      </c>
      <c r="H22" s="23" t="s">
        <v>4</v>
      </c>
      <c r="I22" s="2"/>
    </row>
    <row r="23" spans="1:9" x14ac:dyDescent="0.25">
      <c r="A23" s="2"/>
      <c r="B23" s="71" t="s">
        <v>193</v>
      </c>
      <c r="C23" s="72"/>
      <c r="D23" s="72"/>
      <c r="E23" s="72"/>
      <c r="F23" s="73"/>
      <c r="G23" s="21">
        <f>G21-G22</f>
        <v>44962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194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80" t="s">
        <v>86</v>
      </c>
      <c r="C27" s="81"/>
      <c r="D27" s="81"/>
      <c r="E27" s="81"/>
      <c r="F27" s="82"/>
      <c r="G27" s="12">
        <v>0</v>
      </c>
      <c r="H27" s="23" t="s">
        <v>4</v>
      </c>
      <c r="I27" s="2"/>
    </row>
    <row r="28" spans="1:9" x14ac:dyDescent="0.25">
      <c r="A28" s="2"/>
      <c r="B28" s="86" t="s">
        <v>87</v>
      </c>
      <c r="C28" s="75"/>
      <c r="D28" s="75"/>
      <c r="E28" s="75"/>
      <c r="F28" s="76"/>
      <c r="G28" s="12">
        <v>0</v>
      </c>
      <c r="H28" s="23" t="s">
        <v>4</v>
      </c>
      <c r="I28" s="2"/>
    </row>
    <row r="29" spans="1:9" ht="15" customHeight="1" x14ac:dyDescent="0.25">
      <c r="A29" s="2"/>
      <c r="B29" s="90" t="s">
        <v>194</v>
      </c>
      <c r="C29" s="91"/>
      <c r="D29" s="91"/>
      <c r="E29" s="91"/>
      <c r="F29" s="9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88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86" t="s">
        <v>89</v>
      </c>
      <c r="C33" s="75"/>
      <c r="D33" s="75"/>
      <c r="E33" s="75"/>
      <c r="F33" s="76"/>
      <c r="G33" s="12">
        <f>'Fane 8. Gen. inv. i 2016'!F33</f>
        <v>676364.29550000012</v>
      </c>
      <c r="H33" s="23" t="s">
        <v>4</v>
      </c>
      <c r="I33" s="2"/>
    </row>
    <row r="34" spans="1:9" x14ac:dyDescent="0.25">
      <c r="A34" s="2"/>
      <c r="B34" s="86" t="s">
        <v>90</v>
      </c>
      <c r="C34" s="75"/>
      <c r="D34" s="75"/>
      <c r="E34" s="75"/>
      <c r="F34" s="76"/>
      <c r="G34" s="12">
        <v>378000</v>
      </c>
      <c r="H34" s="23" t="s">
        <v>4</v>
      </c>
      <c r="I34" s="2"/>
    </row>
    <row r="35" spans="1:9" x14ac:dyDescent="0.25">
      <c r="A35" s="2"/>
      <c r="B35" s="71" t="s">
        <v>88</v>
      </c>
      <c r="C35" s="72"/>
      <c r="D35" s="72"/>
      <c r="E35" s="72"/>
      <c r="F35" s="73"/>
      <c r="G35" s="21">
        <f>G33-G34</f>
        <v>298364.29550000012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71" t="s">
        <v>195</v>
      </c>
      <c r="C38" s="72"/>
      <c r="D38" s="72"/>
      <c r="E38" s="72"/>
      <c r="F38" s="72"/>
      <c r="G38" s="72"/>
      <c r="H38" s="73"/>
      <c r="I38" s="2"/>
    </row>
    <row r="39" spans="1:9" x14ac:dyDescent="0.25">
      <c r="A39" s="2"/>
      <c r="B39" s="86" t="s">
        <v>146</v>
      </c>
      <c r="C39" s="75"/>
      <c r="D39" s="75"/>
      <c r="E39" s="75"/>
      <c r="F39" s="76"/>
      <c r="G39" s="12">
        <v>255933</v>
      </c>
      <c r="H39" s="23" t="s">
        <v>4</v>
      </c>
      <c r="I39" s="2"/>
    </row>
    <row r="40" spans="1:9" x14ac:dyDescent="0.25">
      <c r="A40" s="2"/>
      <c r="B40" s="86" t="s">
        <v>79</v>
      </c>
      <c r="C40" s="75"/>
      <c r="D40" s="75"/>
      <c r="E40" s="75"/>
      <c r="F40" s="76"/>
      <c r="G40" s="12">
        <v>249050</v>
      </c>
      <c r="H40" s="23" t="s">
        <v>4</v>
      </c>
      <c r="I40" s="2"/>
    </row>
    <row r="41" spans="1:9" x14ac:dyDescent="0.25">
      <c r="A41" s="2"/>
      <c r="B41" s="71" t="s">
        <v>195</v>
      </c>
      <c r="C41" s="72"/>
      <c r="D41" s="72"/>
      <c r="E41" s="72"/>
      <c r="F41" s="73"/>
      <c r="G41" s="21">
        <f>G39-G40</f>
        <v>6883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91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92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7" t="s">
        <v>93</v>
      </c>
      <c r="C9" s="88"/>
      <c r="D9" s="88"/>
      <c r="E9" s="88"/>
      <c r="F9" s="89"/>
      <c r="G9" s="18">
        <v>65037924.286789238</v>
      </c>
      <c r="H9" s="28" t="s">
        <v>4</v>
      </c>
      <c r="I9" s="2"/>
    </row>
    <row r="10" spans="1:9" x14ac:dyDescent="0.25">
      <c r="A10" s="2"/>
      <c r="B10" s="71" t="s">
        <v>94</v>
      </c>
      <c r="C10" s="72"/>
      <c r="D10" s="72"/>
      <c r="E10" s="72"/>
      <c r="F10" s="72"/>
      <c r="G10" s="72"/>
      <c r="H10" s="73"/>
      <c r="I10" s="2"/>
    </row>
    <row r="11" spans="1:9" x14ac:dyDescent="0.25">
      <c r="A11" s="2"/>
      <c r="B11" s="86" t="s">
        <v>19</v>
      </c>
      <c r="C11" s="75"/>
      <c r="D11" s="76"/>
      <c r="E11" s="12">
        <v>27657245</v>
      </c>
      <c r="F11" s="23" t="s">
        <v>4</v>
      </c>
      <c r="G11" s="20"/>
      <c r="H11" s="31"/>
      <c r="I11" s="2"/>
    </row>
    <row r="12" spans="1:9" x14ac:dyDescent="0.25">
      <c r="A12" s="2"/>
      <c r="B12" s="86" t="s">
        <v>95</v>
      </c>
      <c r="C12" s="75"/>
      <c r="D12" s="76"/>
      <c r="E12" s="12">
        <v>2982138</v>
      </c>
      <c r="F12" s="23" t="s">
        <v>4</v>
      </c>
      <c r="G12" s="15"/>
      <c r="H12" s="32"/>
      <c r="I12" s="2"/>
    </row>
    <row r="13" spans="1:9" x14ac:dyDescent="0.25">
      <c r="A13" s="2"/>
      <c r="B13" s="86" t="s">
        <v>96</v>
      </c>
      <c r="C13" s="75"/>
      <c r="D13" s="76"/>
      <c r="E13" s="12">
        <v>-194240</v>
      </c>
      <c r="F13" s="23" t="s">
        <v>4</v>
      </c>
      <c r="G13" s="15"/>
      <c r="H13" s="32"/>
      <c r="I13" s="2"/>
    </row>
    <row r="14" spans="1:9" x14ac:dyDescent="0.25">
      <c r="A14" s="2"/>
      <c r="B14" s="86" t="s">
        <v>97</v>
      </c>
      <c r="C14" s="75"/>
      <c r="D14" s="76"/>
      <c r="E14" s="12">
        <v>916333</v>
      </c>
      <c r="F14" s="23" t="s">
        <v>4</v>
      </c>
      <c r="G14" s="15"/>
      <c r="H14" s="32"/>
      <c r="I14" s="2"/>
    </row>
    <row r="15" spans="1:9" x14ac:dyDescent="0.25">
      <c r="A15" s="2"/>
      <c r="B15" s="87" t="s">
        <v>20</v>
      </c>
      <c r="C15" s="88"/>
      <c r="D15" s="89"/>
      <c r="E15" s="18">
        <f>SUM(E11:E14)</f>
        <v>31361476</v>
      </c>
      <c r="F15" s="28" t="s">
        <v>4</v>
      </c>
      <c r="G15" s="15"/>
      <c r="H15" s="32"/>
      <c r="I15" s="2"/>
    </row>
    <row r="16" spans="1:9" x14ac:dyDescent="0.25">
      <c r="A16" s="2"/>
      <c r="B16" s="86" t="s">
        <v>21</v>
      </c>
      <c r="C16" s="75"/>
      <c r="D16" s="76"/>
      <c r="E16" s="12">
        <v>430078.06</v>
      </c>
      <c r="F16" s="23" t="s">
        <v>4</v>
      </c>
      <c r="G16" s="15"/>
      <c r="H16" s="32"/>
      <c r="I16" s="2"/>
    </row>
    <row r="17" spans="1:9" x14ac:dyDescent="0.25">
      <c r="A17" s="2"/>
      <c r="B17" s="86" t="s">
        <v>22</v>
      </c>
      <c r="C17" s="75"/>
      <c r="D17" s="76"/>
      <c r="E17" s="12">
        <v>6119</v>
      </c>
      <c r="F17" s="23" t="s">
        <v>4</v>
      </c>
      <c r="G17" s="15"/>
      <c r="H17" s="32"/>
      <c r="I17" s="2"/>
    </row>
    <row r="18" spans="1:9" x14ac:dyDescent="0.25">
      <c r="A18" s="2"/>
      <c r="B18" s="86" t="s">
        <v>23</v>
      </c>
      <c r="C18" s="75"/>
      <c r="D18" s="76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7" t="s">
        <v>24</v>
      </c>
      <c r="C19" s="88"/>
      <c r="D19" s="89"/>
      <c r="E19" s="18">
        <f>SUM(E16:E18)</f>
        <v>436197.06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80" t="s">
        <v>25</v>
      </c>
      <c r="C20" s="81"/>
      <c r="D20" s="82"/>
      <c r="E20" s="12">
        <v>-10846556.890000001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80" t="s">
        <v>26</v>
      </c>
      <c r="C21" s="81"/>
      <c r="D21" s="82"/>
      <c r="E21" s="12">
        <v>-20854215.77</v>
      </c>
      <c r="F21" s="23" t="s">
        <v>4</v>
      </c>
      <c r="G21" s="15"/>
      <c r="H21" s="32"/>
      <c r="I21" s="2"/>
    </row>
    <row r="22" spans="1:9" x14ac:dyDescent="0.25">
      <c r="A22" s="2"/>
      <c r="B22" s="86" t="s">
        <v>27</v>
      </c>
      <c r="C22" s="75"/>
      <c r="D22" s="76"/>
      <c r="E22" s="12">
        <v>-50000</v>
      </c>
      <c r="F22" s="23" t="s">
        <v>4</v>
      </c>
      <c r="G22" s="15"/>
      <c r="H22" s="32"/>
      <c r="I22" s="2"/>
    </row>
    <row r="23" spans="1:9" x14ac:dyDescent="0.25">
      <c r="A23" s="2"/>
      <c r="B23" s="86" t="s">
        <v>28</v>
      </c>
      <c r="C23" s="75"/>
      <c r="D23" s="76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80" t="s">
        <v>29</v>
      </c>
      <c r="C24" s="81"/>
      <c r="D24" s="8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80" t="s">
        <v>30</v>
      </c>
      <c r="C25" s="81"/>
      <c r="D25" s="8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80" t="s">
        <v>31</v>
      </c>
      <c r="C26" s="81"/>
      <c r="D26" s="82"/>
      <c r="E26" s="12">
        <v>-10200</v>
      </c>
      <c r="F26" s="23" t="s">
        <v>4</v>
      </c>
      <c r="G26" s="15"/>
      <c r="H26" s="32"/>
      <c r="I26" s="2"/>
    </row>
    <row r="27" spans="1:9" x14ac:dyDescent="0.25">
      <c r="A27" s="2"/>
      <c r="B27" s="87" t="s">
        <v>32</v>
      </c>
      <c r="C27" s="88"/>
      <c r="D27" s="89"/>
      <c r="E27" s="18">
        <f>SUM(E20:E26)</f>
        <v>-31760972.66</v>
      </c>
      <c r="F27" s="28" t="s">
        <v>4</v>
      </c>
      <c r="G27" s="16"/>
      <c r="H27" s="33"/>
      <c r="I27" s="2"/>
    </row>
    <row r="28" spans="1:9" x14ac:dyDescent="0.25">
      <c r="A28" s="2"/>
      <c r="B28" s="87" t="s">
        <v>33</v>
      </c>
      <c r="C28" s="88"/>
      <c r="D28" s="89"/>
      <c r="E28" s="18">
        <f>E15+E19+E27</f>
        <v>36700.39999999851</v>
      </c>
      <c r="F28" s="28" t="s">
        <v>4</v>
      </c>
      <c r="G28" s="1">
        <f>IF(E28&lt;0,0,-E28)</f>
        <v>-36700.39999999851</v>
      </c>
      <c r="H28" s="28" t="s">
        <v>4</v>
      </c>
      <c r="I28" s="2"/>
    </row>
    <row r="29" spans="1:9" x14ac:dyDescent="0.25">
      <c r="A29" s="2"/>
      <c r="B29" s="71" t="s">
        <v>98</v>
      </c>
      <c r="C29" s="72"/>
      <c r="D29" s="72"/>
      <c r="E29" s="72"/>
      <c r="F29" s="72"/>
      <c r="G29" s="72"/>
      <c r="H29" s="73"/>
      <c r="I29" s="2"/>
    </row>
    <row r="30" spans="1:9" x14ac:dyDescent="0.25">
      <c r="A30" s="2"/>
      <c r="B30" s="87" t="s">
        <v>98</v>
      </c>
      <c r="C30" s="88"/>
      <c r="D30" s="89"/>
      <c r="E30" s="18">
        <v>1660344.8867892399</v>
      </c>
      <c r="F30" s="28" t="s">
        <v>4</v>
      </c>
      <c r="G30" s="18">
        <f>-$E$30</f>
        <v>-1660344.8867892399</v>
      </c>
      <c r="H30" s="28" t="s">
        <v>4</v>
      </c>
      <c r="I30" s="2"/>
    </row>
    <row r="31" spans="1:9" x14ac:dyDescent="0.25">
      <c r="A31" s="2"/>
      <c r="B31" s="101" t="s">
        <v>57</v>
      </c>
      <c r="C31" s="72"/>
      <c r="D31" s="72"/>
      <c r="E31" s="72"/>
      <c r="F31" s="72"/>
      <c r="G31" s="72"/>
      <c r="H31" s="73"/>
      <c r="I31" s="2"/>
    </row>
    <row r="32" spans="1:9" ht="30" customHeight="1" x14ac:dyDescent="0.25">
      <c r="A32" s="2"/>
      <c r="B32" s="80" t="s">
        <v>58</v>
      </c>
      <c r="C32" s="81"/>
      <c r="D32" s="82"/>
      <c r="E32" s="12">
        <v>57317462</v>
      </c>
      <c r="F32" s="23" t="s">
        <v>4</v>
      </c>
      <c r="G32" s="20"/>
      <c r="H32" s="31"/>
      <c r="I32" s="2"/>
    </row>
    <row r="33" spans="1:9" x14ac:dyDescent="0.25">
      <c r="A33" s="2"/>
      <c r="B33" s="86" t="s">
        <v>34</v>
      </c>
      <c r="C33" s="75"/>
      <c r="D33" s="76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80" t="s">
        <v>35</v>
      </c>
      <c r="C34" s="81"/>
      <c r="D34" s="82"/>
      <c r="E34" s="12">
        <v>6023417</v>
      </c>
      <c r="F34" s="23" t="s">
        <v>4</v>
      </c>
      <c r="G34" s="16"/>
      <c r="H34" s="33"/>
      <c r="I34" s="2"/>
    </row>
    <row r="35" spans="1:9" x14ac:dyDescent="0.25">
      <c r="A35" s="2"/>
      <c r="B35" s="87" t="s">
        <v>36</v>
      </c>
      <c r="C35" s="88"/>
      <c r="D35" s="89"/>
      <c r="E35" s="18">
        <f>SUM(E32:E34)</f>
        <v>63340879</v>
      </c>
      <c r="F35" s="28" t="s">
        <v>4</v>
      </c>
      <c r="G35" s="18">
        <f>-E35</f>
        <v>-63340879</v>
      </c>
      <c r="H35" s="28" t="s">
        <v>4</v>
      </c>
      <c r="I35" s="2"/>
    </row>
    <row r="36" spans="1:9" x14ac:dyDescent="0.25">
      <c r="A36" s="2"/>
      <c r="B36" s="71" t="s">
        <v>99</v>
      </c>
      <c r="C36" s="72"/>
      <c r="D36" s="72"/>
      <c r="E36" s="72"/>
      <c r="F36" s="73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187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77" t="s">
        <v>118</v>
      </c>
      <c r="C9" s="79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188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135</v>
      </c>
      <c r="C11" s="7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1" t="s">
        <v>148</v>
      </c>
      <c r="C12" s="73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1" t="s">
        <v>183</v>
      </c>
      <c r="C15" s="72"/>
      <c r="D15" s="72"/>
      <c r="E15" s="72"/>
      <c r="F15" s="72"/>
      <c r="G15" s="73"/>
      <c r="H15" s="2"/>
    </row>
    <row r="16" spans="1:8" ht="15" customHeight="1" x14ac:dyDescent="0.25">
      <c r="A16" s="2"/>
      <c r="B16" s="77" t="s">
        <v>201</v>
      </c>
      <c r="C16" s="78"/>
      <c r="D16" s="78"/>
      <c r="E16" s="79"/>
      <c r="F16" s="100" t="s">
        <v>184</v>
      </c>
      <c r="G16" s="100"/>
      <c r="H16" s="2"/>
    </row>
    <row r="17" spans="1:8" x14ac:dyDescent="0.25">
      <c r="A17" s="2"/>
      <c r="B17" s="86" t="s">
        <v>197</v>
      </c>
      <c r="C17" s="75"/>
      <c r="D17" s="75"/>
      <c r="E17" s="76"/>
      <c r="F17" s="12">
        <v>0</v>
      </c>
      <c r="G17" s="23" t="s">
        <v>4</v>
      </c>
      <c r="H17" s="2"/>
    </row>
    <row r="18" spans="1:8" x14ac:dyDescent="0.25">
      <c r="A18" s="2"/>
      <c r="B18" s="71" t="s">
        <v>185</v>
      </c>
      <c r="C18" s="72"/>
      <c r="D18" s="72"/>
      <c r="E18" s="73"/>
      <c r="F18" s="21">
        <f>SUM(F17:F17)</f>
        <v>0</v>
      </c>
      <c r="G18" s="22" t="s">
        <v>4</v>
      </c>
      <c r="H18" s="2"/>
    </row>
    <row r="19" spans="1:8" x14ac:dyDescent="0.25">
      <c r="A19" s="2"/>
      <c r="B19" s="71" t="s">
        <v>186</v>
      </c>
      <c r="C19" s="72"/>
      <c r="D19" s="72"/>
      <c r="E19" s="73"/>
      <c r="F19" s="21">
        <f>F18*(1+'Fane 2.1. Økonomisk ramme 2018'!E20/100)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120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119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196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1" t="s">
        <v>130</v>
      </c>
      <c r="C11" s="7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1" t="s">
        <v>147</v>
      </c>
      <c r="C12" s="73"/>
      <c r="D12" s="21">
        <f>D11*(1+'Fane 2.1. Økonomisk ramme 2018'!E20/100)</f>
        <v>0</v>
      </c>
      <c r="E12" s="22" t="s">
        <v>4</v>
      </c>
      <c r="F12" s="21">
        <f>F11*(1+'Fane 2.1. Økonomisk ramme 2018'!E20/100)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202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203</v>
      </c>
      <c r="C8" s="72"/>
      <c r="D8" s="72"/>
      <c r="E8" s="72"/>
      <c r="F8" s="72"/>
      <c r="G8" s="73"/>
      <c r="H8" s="2"/>
    </row>
    <row r="9" spans="1:8" ht="29.25" customHeight="1" x14ac:dyDescent="0.25">
      <c r="A9" s="2"/>
      <c r="B9" s="77" t="s">
        <v>204</v>
      </c>
      <c r="C9" s="78"/>
      <c r="D9" s="78"/>
      <c r="E9" s="79"/>
      <c r="F9" s="100" t="s">
        <v>47</v>
      </c>
      <c r="G9" s="100"/>
      <c r="H9" s="2"/>
    </row>
    <row r="10" spans="1:8" x14ac:dyDescent="0.25">
      <c r="A10" s="2"/>
      <c r="B10" s="104" t="s">
        <v>208</v>
      </c>
      <c r="C10" s="109"/>
      <c r="D10" s="109"/>
      <c r="E10" s="105"/>
      <c r="F10" s="12">
        <v>22761</v>
      </c>
      <c r="G10" s="23" t="s">
        <v>4</v>
      </c>
      <c r="H10" s="2"/>
    </row>
    <row r="11" spans="1:8" x14ac:dyDescent="0.25">
      <c r="A11" s="2"/>
      <c r="B11" s="71" t="s">
        <v>205</v>
      </c>
      <c r="C11" s="72"/>
      <c r="D11" s="72"/>
      <c r="E11" s="73"/>
      <c r="F11" s="21">
        <f>SUM(F10:F10)</f>
        <v>22761</v>
      </c>
      <c r="G11" s="22" t="s">
        <v>4</v>
      </c>
      <c r="H11" s="2"/>
    </row>
    <row r="12" spans="1:8" x14ac:dyDescent="0.25">
      <c r="A12" s="2"/>
      <c r="B12" s="71" t="s">
        <v>206</v>
      </c>
      <c r="C12" s="72"/>
      <c r="D12" s="72"/>
      <c r="E12" s="73"/>
      <c r="F12" s="21">
        <f>F11*(1+'Fane 2.1. Økonomisk ramme 2018'!E20/100)</f>
        <v>23159.317500000001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ht="15" customHeight="1" x14ac:dyDescent="0.25">
      <c r="A9" s="2"/>
      <c r="B9" s="80" t="s">
        <v>60</v>
      </c>
      <c r="C9" s="81"/>
      <c r="D9" s="82"/>
      <c r="E9" s="8">
        <f>'Fane 3. Korrigeret grundlag'!G12</f>
        <v>65269784.876524106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75"/>
      <c r="D10" s="76"/>
      <c r="E10" s="12">
        <f>'Fane 3. Korrigeret grundlag'!G11</f>
        <v>4607065.7365088193</v>
      </c>
      <c r="F10" s="9" t="s">
        <v>4</v>
      </c>
      <c r="G10" s="13"/>
      <c r="H10" s="14"/>
      <c r="I10" s="2"/>
    </row>
    <row r="11" spans="1:9" x14ac:dyDescent="0.25">
      <c r="A11" s="2"/>
      <c r="B11" s="74" t="s">
        <v>123</v>
      </c>
      <c r="C11" s="75"/>
      <c r="D11" s="76"/>
      <c r="E11" s="12">
        <f>'Fane 4. Ikke-påvirkelige omk.'!G19</f>
        <v>-1366753.5748405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199</v>
      </c>
      <c r="C12" s="38"/>
      <c r="D12" s="39"/>
      <c r="E12" s="12">
        <f>'Fane 5. Individuelt eff.krav'!G10</f>
        <v>-947500.81141453353</v>
      </c>
      <c r="F12" s="9" t="s">
        <v>4</v>
      </c>
      <c r="G12" s="13"/>
      <c r="H12" s="14"/>
      <c r="I12" s="2"/>
    </row>
    <row r="13" spans="1:9" x14ac:dyDescent="0.25">
      <c r="A13" s="2"/>
      <c r="B13" s="74" t="s">
        <v>179</v>
      </c>
      <c r="C13" s="83"/>
      <c r="D13" s="84"/>
      <c r="E13" s="12">
        <f>'Fane 3. Korrigeret grundlag'!G22</f>
        <v>1498789</v>
      </c>
      <c r="F13" s="9" t="s">
        <v>4</v>
      </c>
      <c r="G13" s="13"/>
      <c r="H13" s="14"/>
      <c r="I13" s="2"/>
    </row>
    <row r="14" spans="1:9" x14ac:dyDescent="0.25">
      <c r="A14" s="2"/>
      <c r="B14" s="80" t="s">
        <v>131</v>
      </c>
      <c r="C14" s="81"/>
      <c r="D14" s="82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0" t="s">
        <v>132</v>
      </c>
      <c r="C15" s="81"/>
      <c r="D15" s="82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0" t="s">
        <v>183</v>
      </c>
      <c r="C16" s="81"/>
      <c r="D16" s="82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0" t="s">
        <v>133</v>
      </c>
      <c r="C17" s="81"/>
      <c r="D17" s="82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0" t="s">
        <v>134</v>
      </c>
      <c r="C18" s="81"/>
      <c r="D18" s="82"/>
      <c r="E18" s="12">
        <f>'Fane 12. Bortfald'!$F$12</f>
        <v>0</v>
      </c>
      <c r="F18" s="9" t="s">
        <v>4</v>
      </c>
      <c r="G18" s="13"/>
      <c r="H18" s="14"/>
      <c r="I18" s="2"/>
    </row>
    <row r="19" spans="1:9" ht="15" customHeight="1" x14ac:dyDescent="0.25">
      <c r="A19" s="2"/>
      <c r="B19" s="80" t="s">
        <v>207</v>
      </c>
      <c r="C19" s="81"/>
      <c r="D19" s="82"/>
      <c r="E19" s="12">
        <f>'Fane 13. Ny aktivitet'!F12</f>
        <v>23159.317500000001</v>
      </c>
      <c r="F19" s="9" t="s">
        <v>4</v>
      </c>
      <c r="G19" s="13"/>
      <c r="H19" s="14"/>
      <c r="I19" s="2"/>
    </row>
    <row r="20" spans="1:9" x14ac:dyDescent="0.25">
      <c r="A20" s="2"/>
      <c r="B20" s="40" t="s">
        <v>126</v>
      </c>
      <c r="C20" s="38"/>
      <c r="D20" s="39"/>
      <c r="E20" s="26">
        <v>1.75</v>
      </c>
      <c r="F20" s="9" t="s">
        <v>38</v>
      </c>
      <c r="G20" s="13"/>
      <c r="H20" s="14"/>
      <c r="I20" s="2"/>
    </row>
    <row r="21" spans="1:9" x14ac:dyDescent="0.25">
      <c r="A21" s="2"/>
      <c r="B21" s="74" t="s">
        <v>125</v>
      </c>
      <c r="C21" s="75"/>
      <c r="D21" s="76"/>
      <c r="E21" s="12">
        <f>SUM(E9,E11:E18,E19)*(E20/100)</f>
        <v>1128355.8791359589</v>
      </c>
      <c r="F21" s="9" t="s">
        <v>4</v>
      </c>
      <c r="G21" s="13"/>
      <c r="H21" s="14"/>
      <c r="I21" s="2"/>
    </row>
    <row r="22" spans="1:9" x14ac:dyDescent="0.25">
      <c r="A22" s="2"/>
      <c r="B22" s="86" t="s">
        <v>15</v>
      </c>
      <c r="C22" s="75"/>
      <c r="D22" s="76"/>
      <c r="E22" s="12">
        <f>'Fane 5. Individuelt eff.krav'!G12</f>
        <v>141563.82280181174</v>
      </c>
      <c r="F22" s="9" t="s">
        <v>4</v>
      </c>
      <c r="G22" s="15"/>
      <c r="H22" s="14"/>
      <c r="I22" s="2"/>
    </row>
    <row r="23" spans="1:9" x14ac:dyDescent="0.25">
      <c r="A23" s="2"/>
      <c r="B23" s="86" t="s">
        <v>16</v>
      </c>
      <c r="C23" s="75"/>
      <c r="D23" s="76"/>
      <c r="E23" s="12">
        <f>'Fane 6. Generelt eff.krav'!G17</f>
        <v>1163641.4972141078</v>
      </c>
      <c r="F23" s="9" t="s">
        <v>4</v>
      </c>
      <c r="G23" s="16"/>
      <c r="H23" s="17"/>
      <c r="I23" s="2"/>
    </row>
    <row r="24" spans="1:9" x14ac:dyDescent="0.25">
      <c r="A24" s="2"/>
      <c r="B24" s="87" t="s">
        <v>189</v>
      </c>
      <c r="C24" s="88"/>
      <c r="D24" s="89"/>
      <c r="E24" s="18">
        <f>SUM(E9,E11:E18,E19,E21)-SUM(E22:E23)</f>
        <v>64300629.366889112</v>
      </c>
      <c r="F24" s="19" t="s">
        <v>4</v>
      </c>
      <c r="G24" s="18">
        <f>E24</f>
        <v>64300629.366889112</v>
      </c>
      <c r="H24" s="19" t="s">
        <v>4</v>
      </c>
      <c r="I24" s="2"/>
    </row>
    <row r="25" spans="1:9" x14ac:dyDescent="0.25">
      <c r="A25" s="2"/>
      <c r="B25" s="71" t="s">
        <v>17</v>
      </c>
      <c r="C25" s="72"/>
      <c r="D25" s="72"/>
      <c r="E25" s="72"/>
      <c r="F25" s="72"/>
      <c r="G25" s="72"/>
      <c r="H25" s="73"/>
      <c r="I25" s="2"/>
    </row>
    <row r="26" spans="1:9" x14ac:dyDescent="0.25">
      <c r="A26" s="2"/>
      <c r="B26" s="77" t="s">
        <v>55</v>
      </c>
      <c r="C26" s="78"/>
      <c r="D26" s="79"/>
      <c r="E26" s="18">
        <f>'Fane 7. Hist. over el. underdæk'!G13</f>
        <v>-467884.5855379189</v>
      </c>
      <c r="F26" s="19" t="s">
        <v>4</v>
      </c>
      <c r="G26" s="18">
        <f>E26</f>
        <v>-467884.5855379189</v>
      </c>
      <c r="H26" s="19" t="s">
        <v>4</v>
      </c>
      <c r="I26" s="2"/>
    </row>
    <row r="27" spans="1:9" x14ac:dyDescent="0.25">
      <c r="A27" s="2"/>
      <c r="B27" s="71" t="s">
        <v>100</v>
      </c>
      <c r="C27" s="72"/>
      <c r="D27" s="72"/>
      <c r="E27" s="72"/>
      <c r="F27" s="72"/>
      <c r="G27" s="72"/>
      <c r="H27" s="73"/>
      <c r="I27" s="2"/>
    </row>
    <row r="28" spans="1:9" x14ac:dyDescent="0.25">
      <c r="A28" s="2"/>
      <c r="B28" s="80" t="s">
        <v>107</v>
      </c>
      <c r="C28" s="81"/>
      <c r="D28" s="82"/>
      <c r="E28" s="12">
        <f>'Fane 9. Korrektion af PL2016'!G11</f>
        <v>-1841133</v>
      </c>
      <c r="F28" s="9" t="s">
        <v>4</v>
      </c>
      <c r="G28" s="20"/>
      <c r="H28" s="11"/>
      <c r="I28" s="2"/>
    </row>
    <row r="29" spans="1:9" x14ac:dyDescent="0.25">
      <c r="A29" s="2"/>
      <c r="B29" s="80" t="s">
        <v>101</v>
      </c>
      <c r="C29" s="81"/>
      <c r="D29" s="82"/>
      <c r="E29" s="12">
        <f>'Fane 9. Korrektion af PL2016'!G17</f>
        <v>-218228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80" t="s">
        <v>102</v>
      </c>
      <c r="C30" s="81"/>
      <c r="D30" s="82"/>
      <c r="E30" s="12">
        <f>'Fane 9. Korrektion af PL2016'!G23</f>
        <v>44962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80" t="s">
        <v>103</v>
      </c>
      <c r="C31" s="81"/>
      <c r="D31" s="82"/>
      <c r="E31" s="12">
        <f>'Fane 9. Korrektion af PL2016'!G29</f>
        <v>0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0" t="s">
        <v>104</v>
      </c>
      <c r="C32" s="81"/>
      <c r="D32" s="82"/>
      <c r="E32" s="12">
        <f>'Fane 9. Korrektion af PL2016'!G35</f>
        <v>298364.29550000012</v>
      </c>
      <c r="F32" s="9" t="s">
        <v>4</v>
      </c>
      <c r="G32" s="15"/>
      <c r="H32" s="14"/>
      <c r="I32" s="2"/>
    </row>
    <row r="33" spans="1:9" ht="28.5" customHeight="1" x14ac:dyDescent="0.25">
      <c r="A33" s="2"/>
      <c r="B33" s="80" t="s">
        <v>78</v>
      </c>
      <c r="C33" s="81"/>
      <c r="D33" s="82"/>
      <c r="E33" s="12">
        <f>'Fane 9. Korrektion af PL2016'!G41</f>
        <v>6883</v>
      </c>
      <c r="F33" s="9" t="s">
        <v>4</v>
      </c>
      <c r="G33" s="16"/>
      <c r="H33" s="17"/>
      <c r="I33" s="2"/>
    </row>
    <row r="34" spans="1:9" x14ac:dyDescent="0.25">
      <c r="A34" s="2"/>
      <c r="B34" s="77" t="s">
        <v>105</v>
      </c>
      <c r="C34" s="78"/>
      <c r="D34" s="79"/>
      <c r="E34" s="18">
        <f>SUM(E28:E33)</f>
        <v>-1709151.7045</v>
      </c>
      <c r="F34" s="19" t="s">
        <v>4</v>
      </c>
      <c r="G34" s="18">
        <f>E34</f>
        <v>-1709151.7045</v>
      </c>
      <c r="H34" s="19" t="s">
        <v>4</v>
      </c>
      <c r="I34" s="2"/>
    </row>
    <row r="35" spans="1:9" x14ac:dyDescent="0.25">
      <c r="A35" s="2"/>
      <c r="B35" s="71" t="s">
        <v>18</v>
      </c>
      <c r="C35" s="72"/>
      <c r="D35" s="72"/>
      <c r="E35" s="72"/>
      <c r="F35" s="72"/>
      <c r="G35" s="72"/>
      <c r="H35" s="73"/>
      <c r="I35" s="2"/>
    </row>
    <row r="36" spans="1:9" x14ac:dyDescent="0.25">
      <c r="A36" s="2"/>
      <c r="B36" s="77" t="s">
        <v>106</v>
      </c>
      <c r="C36" s="78"/>
      <c r="D36" s="79"/>
      <c r="E36" s="18">
        <f>'Fane 10. Kontrol af PL2016'!G36</f>
        <v>0</v>
      </c>
      <c r="F36" s="19" t="s">
        <v>4</v>
      </c>
      <c r="G36" s="18">
        <f>E36</f>
        <v>0</v>
      </c>
      <c r="H36" s="19" t="s">
        <v>4</v>
      </c>
      <c r="I36" s="2"/>
    </row>
    <row r="37" spans="1:9" x14ac:dyDescent="0.25">
      <c r="A37" s="2"/>
      <c r="B37" s="71" t="s">
        <v>62</v>
      </c>
      <c r="C37" s="72"/>
      <c r="D37" s="72"/>
      <c r="E37" s="72"/>
      <c r="F37" s="73"/>
      <c r="G37" s="21">
        <f>G24+G26+G34+G36</f>
        <v>62123593.076851197</v>
      </c>
      <c r="H37" s="22" t="s">
        <v>4</v>
      </c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29">
    <mergeCell ref="B3:H4"/>
    <mergeCell ref="B9:D9"/>
    <mergeCell ref="B22:D22"/>
    <mergeCell ref="B36:D36"/>
    <mergeCell ref="B23:D23"/>
    <mergeCell ref="B10:D10"/>
    <mergeCell ref="B24:D24"/>
    <mergeCell ref="B26:D26"/>
    <mergeCell ref="B29:D29"/>
    <mergeCell ref="B31:D31"/>
    <mergeCell ref="B32:D32"/>
    <mergeCell ref="B35:H35"/>
    <mergeCell ref="B33:D33"/>
    <mergeCell ref="B27:H27"/>
    <mergeCell ref="B25:H25"/>
    <mergeCell ref="B28:D28"/>
    <mergeCell ref="B8:H8"/>
    <mergeCell ref="B11:D11"/>
    <mergeCell ref="B34:D34"/>
    <mergeCell ref="B30:D30"/>
    <mergeCell ref="B37:F37"/>
    <mergeCell ref="B21:D21"/>
    <mergeCell ref="B14:D14"/>
    <mergeCell ref="B15:D15"/>
    <mergeCell ref="B17:D17"/>
    <mergeCell ref="B18:D18"/>
    <mergeCell ref="B13:D13"/>
    <mergeCell ref="B16:D16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56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0" t="s">
        <v>108</v>
      </c>
      <c r="C9" s="81"/>
      <c r="D9" s="82"/>
      <c r="E9" s="8">
        <f>'Fane 2.1. Økonomisk ramme 2018'!G24-'Fane 2.1. Økonomisk ramme 2018'!E13*(1+0.0175)*(1-0.02-'Fane 5. Individuelt eff.krav'!G11/100)</f>
        <v>62809576.711708397</v>
      </c>
      <c r="F9" s="9" t="s">
        <v>4</v>
      </c>
      <c r="G9" s="10"/>
      <c r="H9" s="11"/>
      <c r="I9" s="2"/>
    </row>
    <row r="10" spans="1:9" x14ac:dyDescent="0.25">
      <c r="A10" s="2"/>
      <c r="B10" s="74" t="s">
        <v>46</v>
      </c>
      <c r="C10" s="83"/>
      <c r="D10" s="84"/>
      <c r="E10" s="12">
        <f>(SUM('Fane 2.1. Økonomisk ramme 2018'!E10:E11,'Fane 2.1. Økonomisk ramme 2018'!E16))*(1+'Fane 2.1. Økonomisk ramme 2018'!E20/100)</f>
        <v>3297017.6244975151</v>
      </c>
      <c r="F10" s="9" t="s">
        <v>4</v>
      </c>
      <c r="G10" s="13"/>
      <c r="H10" s="14"/>
      <c r="I10" s="2"/>
    </row>
    <row r="11" spans="1:9" x14ac:dyDescent="0.25">
      <c r="A11" s="2"/>
      <c r="B11" s="40" t="s">
        <v>179</v>
      </c>
      <c r="C11" s="41"/>
      <c r="D11" s="42"/>
      <c r="E11" s="12">
        <v>1357761</v>
      </c>
      <c r="F11" s="9" t="s">
        <v>4</v>
      </c>
      <c r="G11" s="13"/>
      <c r="H11" s="14"/>
      <c r="I11" s="2"/>
    </row>
    <row r="12" spans="1:9" x14ac:dyDescent="0.25">
      <c r="A12" s="2"/>
      <c r="B12" s="86" t="s">
        <v>61</v>
      </c>
      <c r="C12" s="75"/>
      <c r="D12" s="76"/>
      <c r="E12" s="12">
        <f>($E$9+E11)*'Fane 2.1. Økonomisk ramme 2018'!E20/100</f>
        <v>1122928.4099548969</v>
      </c>
      <c r="F12" s="9" t="s">
        <v>4</v>
      </c>
      <c r="G12" s="15"/>
      <c r="H12" s="14"/>
      <c r="I12" s="2"/>
    </row>
    <row r="13" spans="1:9" x14ac:dyDescent="0.25">
      <c r="A13" s="2"/>
      <c r="B13" s="86" t="s">
        <v>15</v>
      </c>
      <c r="C13" s="75"/>
      <c r="D13" s="76"/>
      <c r="E13" s="12">
        <f>($E$9+E11-$E$10)*(1+'Fane 2.1. Økonomisk ramme 2018'!E20/100)*'Fane 5. Individuelt eff.krav'!$G$11/100</f>
        <v>140715.77244118243</v>
      </c>
      <c r="F13" s="9" t="s">
        <v>4</v>
      </c>
      <c r="G13" s="15"/>
      <c r="H13" s="14"/>
      <c r="I13" s="2"/>
    </row>
    <row r="14" spans="1:9" x14ac:dyDescent="0.25">
      <c r="A14" s="2"/>
      <c r="B14" s="37" t="s">
        <v>16</v>
      </c>
      <c r="C14" s="38"/>
      <c r="D14" s="39"/>
      <c r="E14" s="12">
        <f>(('Fane 6. Generelt eff.krav'!G12/('Fane 6. Generelt eff.krav'!G11/100)-'Fane 6. Generelt eff.krav'!G12)+E11)*(1+'Fane 2.1. Økonomisk ramme 2018'!E20/100)*'Fane 6. Generelt eff.krav'!G11/100+(('Fane 6. Generelt eff.krav'!G16/('Fane 6. Generelt eff.krav'!G15/100))-'Fane 6. Generelt eff.krav'!G16)*(1+'Fane 2.1. Økonomisk ramme 2018'!E20/100)*'Fane 6. Generelt eff.krav'!G15/100</f>
        <v>1189483.0482280278</v>
      </c>
      <c r="F14" s="9" t="s">
        <v>4</v>
      </c>
      <c r="G14" s="16"/>
      <c r="H14" s="17"/>
      <c r="I14" s="2"/>
    </row>
    <row r="15" spans="1:9" x14ac:dyDescent="0.25">
      <c r="A15" s="2"/>
      <c r="B15" s="87" t="s">
        <v>189</v>
      </c>
      <c r="C15" s="88"/>
      <c r="D15" s="89"/>
      <c r="E15" s="18">
        <f>$E$9+$E$12-$E$13-$E$14+E11</f>
        <v>63960067.300994083</v>
      </c>
      <c r="F15" s="19" t="s">
        <v>4</v>
      </c>
      <c r="G15" s="18">
        <f>E15</f>
        <v>63960067.300994083</v>
      </c>
      <c r="H15" s="19" t="s">
        <v>4</v>
      </c>
      <c r="I15" s="2"/>
    </row>
    <row r="16" spans="1:9" x14ac:dyDescent="0.25">
      <c r="A16" s="2"/>
      <c r="B16" s="71" t="s">
        <v>17</v>
      </c>
      <c r="C16" s="72"/>
      <c r="D16" s="72"/>
      <c r="E16" s="72"/>
      <c r="F16" s="72"/>
      <c r="G16" s="72"/>
      <c r="H16" s="73"/>
      <c r="I16" s="2"/>
    </row>
    <row r="17" spans="1:9" ht="15" customHeight="1" x14ac:dyDescent="0.25">
      <c r="A17" s="2"/>
      <c r="B17" s="77" t="s">
        <v>55</v>
      </c>
      <c r="C17" s="78"/>
      <c r="D17" s="79"/>
      <c r="E17" s="18">
        <f>IF('Fane 7. Hist. over el. underdæk'!$G$12&gt;1,'Fane 7. Hist. over el. underdæk'!$G$13,0)</f>
        <v>-467884.5855379189</v>
      </c>
      <c r="F17" s="19" t="s">
        <v>4</v>
      </c>
      <c r="G17" s="18">
        <f>E17</f>
        <v>-467884.5855379189</v>
      </c>
      <c r="H17" s="19" t="s">
        <v>4</v>
      </c>
      <c r="I17" s="2"/>
    </row>
    <row r="18" spans="1:9" x14ac:dyDescent="0.25">
      <c r="A18" s="2"/>
      <c r="B18" s="71" t="s">
        <v>109</v>
      </c>
      <c r="C18" s="72"/>
      <c r="D18" s="72"/>
      <c r="E18" s="72"/>
      <c r="F18" s="73"/>
      <c r="G18" s="21">
        <f>G15+G17</f>
        <v>63492182.715456165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141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143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112</v>
      </c>
      <c r="C9" s="75"/>
      <c r="D9" s="75"/>
      <c r="E9" s="75"/>
      <c r="F9" s="76"/>
      <c r="G9" s="12">
        <v>24090919.361105084</v>
      </c>
      <c r="H9" s="23" t="s">
        <v>4</v>
      </c>
      <c r="I9" s="2"/>
    </row>
    <row r="10" spans="1:9" x14ac:dyDescent="0.25">
      <c r="A10" s="2"/>
      <c r="B10" s="86" t="s">
        <v>113</v>
      </c>
      <c r="C10" s="75"/>
      <c r="D10" s="75"/>
      <c r="E10" s="75"/>
      <c r="F10" s="76"/>
      <c r="G10" s="12">
        <v>36571799.778910205</v>
      </c>
      <c r="H10" s="23" t="s">
        <v>4</v>
      </c>
      <c r="I10" s="2"/>
    </row>
    <row r="11" spans="1:9" x14ac:dyDescent="0.25">
      <c r="A11" s="2"/>
      <c r="B11" s="86" t="s">
        <v>140</v>
      </c>
      <c r="C11" s="75"/>
      <c r="D11" s="75"/>
      <c r="E11" s="75"/>
      <c r="F11" s="76"/>
      <c r="G11" s="12">
        <v>4607065.7365088193</v>
      </c>
      <c r="H11" s="23" t="s">
        <v>4</v>
      </c>
      <c r="I11" s="2"/>
    </row>
    <row r="12" spans="1:9" ht="17.25" customHeight="1" x14ac:dyDescent="0.25">
      <c r="A12" s="2"/>
      <c r="B12" s="90" t="s">
        <v>145</v>
      </c>
      <c r="C12" s="91"/>
      <c r="D12" s="91"/>
      <c r="E12" s="91"/>
      <c r="F12" s="92"/>
      <c r="G12" s="21">
        <f>SUM(G9:G11)</f>
        <v>65269784.876524106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71" t="s">
        <v>179</v>
      </c>
      <c r="C19" s="72"/>
      <c r="D19" s="72"/>
      <c r="E19" s="72"/>
      <c r="F19" s="72"/>
      <c r="G19" s="72"/>
      <c r="H19" s="73"/>
      <c r="I19" s="2"/>
    </row>
    <row r="20" spans="1:9" x14ac:dyDescent="0.25">
      <c r="A20" s="2"/>
      <c r="B20" s="86" t="s">
        <v>180</v>
      </c>
      <c r="C20" s="75"/>
      <c r="D20" s="75"/>
      <c r="E20" s="75"/>
      <c r="F20" s="76"/>
      <c r="G20" s="12">
        <v>1498789</v>
      </c>
      <c r="H20" s="23" t="s">
        <v>4</v>
      </c>
      <c r="I20" s="2"/>
    </row>
    <row r="21" spans="1:9" x14ac:dyDescent="0.25">
      <c r="A21" s="2"/>
      <c r="B21" s="86" t="s">
        <v>181</v>
      </c>
      <c r="C21" s="75"/>
      <c r="D21" s="75"/>
      <c r="E21" s="75"/>
      <c r="F21" s="76"/>
      <c r="G21" s="12">
        <v>0</v>
      </c>
      <c r="H21" s="23" t="s">
        <v>4</v>
      </c>
      <c r="I21" s="2"/>
    </row>
    <row r="22" spans="1:9" x14ac:dyDescent="0.25">
      <c r="A22" s="2"/>
      <c r="B22" s="90" t="s">
        <v>182</v>
      </c>
      <c r="C22" s="91"/>
      <c r="D22" s="91"/>
      <c r="E22" s="91"/>
      <c r="F22" s="92"/>
      <c r="G22" s="21">
        <f>SUM(G20:G21)</f>
        <v>1498789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115</v>
      </c>
      <c r="C8" s="72"/>
      <c r="D8" s="72"/>
      <c r="E8" s="72"/>
      <c r="F8" s="72"/>
      <c r="G8" s="72"/>
      <c r="H8" s="73"/>
      <c r="I8" s="2"/>
    </row>
    <row r="9" spans="1:9" ht="51.75" customHeight="1" x14ac:dyDescent="0.25">
      <c r="A9" s="2"/>
      <c r="B9" s="77" t="s">
        <v>117</v>
      </c>
      <c r="C9" s="78"/>
      <c r="D9" s="79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86" t="s">
        <v>171</v>
      </c>
      <c r="C10" s="75"/>
      <c r="D10" s="75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6" t="s">
        <v>172</v>
      </c>
      <c r="C11" s="75"/>
      <c r="D11" s="75"/>
      <c r="E11" s="102">
        <v>162485.201</v>
      </c>
      <c r="F11" s="23" t="s">
        <v>4</v>
      </c>
      <c r="G11" s="12">
        <v>60695</v>
      </c>
      <c r="H11" s="23" t="s">
        <v>4</v>
      </c>
      <c r="I11" s="2"/>
    </row>
    <row r="12" spans="1:9" x14ac:dyDescent="0.25">
      <c r="A12" s="2"/>
      <c r="B12" s="86" t="s">
        <v>173</v>
      </c>
      <c r="C12" s="75"/>
      <c r="D12" s="75"/>
      <c r="E12" s="102">
        <v>1974014.1328</v>
      </c>
      <c r="F12" s="23" t="s">
        <v>4</v>
      </c>
      <c r="G12" s="12">
        <v>896377</v>
      </c>
      <c r="H12" s="23" t="s">
        <v>4</v>
      </c>
      <c r="I12" s="2"/>
    </row>
    <row r="13" spans="1:9" x14ac:dyDescent="0.25">
      <c r="A13" s="2"/>
      <c r="B13" s="86" t="s">
        <v>174</v>
      </c>
      <c r="C13" s="75"/>
      <c r="D13" s="75"/>
      <c r="E13" s="102">
        <v>32399.4126</v>
      </c>
      <c r="F13" s="23" t="s">
        <v>4</v>
      </c>
      <c r="G13" s="12">
        <v>47218</v>
      </c>
      <c r="H13" s="23" t="s">
        <v>4</v>
      </c>
      <c r="I13" s="2"/>
    </row>
    <row r="14" spans="1:9" x14ac:dyDescent="0.25">
      <c r="A14" s="2"/>
      <c r="B14" s="86" t="s">
        <v>175</v>
      </c>
      <c r="C14" s="75"/>
      <c r="D14" s="75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6" t="s">
        <v>176</v>
      </c>
      <c r="C15" s="75"/>
      <c r="D15" s="75"/>
      <c r="E15" s="102">
        <v>1945859.5284</v>
      </c>
      <c r="F15" s="23" t="s">
        <v>4</v>
      </c>
      <c r="G15" s="12">
        <v>1694740</v>
      </c>
      <c r="H15" s="23" t="s">
        <v>4</v>
      </c>
      <c r="I15" s="2"/>
    </row>
    <row r="16" spans="1:9" x14ac:dyDescent="0.25">
      <c r="A16" s="2"/>
      <c r="B16" s="86" t="s">
        <v>177</v>
      </c>
      <c r="C16" s="75"/>
      <c r="D16" s="75"/>
      <c r="E16" s="102">
        <v>434531.48180000001</v>
      </c>
      <c r="F16" s="23" t="s">
        <v>4</v>
      </c>
      <c r="G16" s="12">
        <v>507013</v>
      </c>
      <c r="H16" s="23" t="s">
        <v>4</v>
      </c>
      <c r="I16" s="2"/>
    </row>
    <row r="17" spans="1:9" x14ac:dyDescent="0.25">
      <c r="A17" s="2"/>
      <c r="B17" s="86" t="s">
        <v>178</v>
      </c>
      <c r="C17" s="75"/>
      <c r="D17" s="75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1" t="s">
        <v>136</v>
      </c>
      <c r="C18" s="72"/>
      <c r="D18" s="72"/>
      <c r="E18" s="72"/>
      <c r="F18" s="73"/>
      <c r="G18" s="21">
        <f>SUM(G10:G17)-SUM(E10:E17)</f>
        <v>-1343246.7566</v>
      </c>
      <c r="H18" s="22" t="s">
        <v>4</v>
      </c>
      <c r="I18" s="2"/>
    </row>
    <row r="19" spans="1:9" x14ac:dyDescent="0.25">
      <c r="A19" s="2"/>
      <c r="B19" s="71" t="s">
        <v>137</v>
      </c>
      <c r="C19" s="72"/>
      <c r="D19" s="72"/>
      <c r="E19" s="72"/>
      <c r="F19" s="73"/>
      <c r="G19" s="21">
        <f>G18*(1+'Fane 2.1. Økonomisk ramme 2018'!E20/100)</f>
        <v>-1366753.5748405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15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51</v>
      </c>
      <c r="C9" s="75"/>
      <c r="D9" s="75"/>
      <c r="E9" s="75"/>
      <c r="F9" s="76"/>
      <c r="G9" s="12">
        <f>'Fane 3. Korrigeret grundlag'!G12-'Fane 3. Korrigeret grundlag'!G11+SUM('Fane 2.1. Økonomisk ramme 2018'!E13:E15,'Fane 2.1. Økonomisk ramme 2018'!E17:E19)</f>
        <v>62184667.457515292</v>
      </c>
      <c r="H9" s="23" t="s">
        <v>4</v>
      </c>
      <c r="I9" s="2"/>
    </row>
    <row r="10" spans="1:9" x14ac:dyDescent="0.25">
      <c r="A10" s="2"/>
      <c r="B10" s="37" t="s">
        <v>199</v>
      </c>
      <c r="C10" s="38"/>
      <c r="D10" s="38"/>
      <c r="E10" s="38"/>
      <c r="F10" s="39"/>
      <c r="G10" s="12">
        <v>-947500.81141453353</v>
      </c>
      <c r="H10" s="23" t="s">
        <v>4</v>
      </c>
      <c r="I10" s="2"/>
    </row>
    <row r="11" spans="1:9" x14ac:dyDescent="0.25">
      <c r="A11" s="2"/>
      <c r="B11" s="86" t="s">
        <v>37</v>
      </c>
      <c r="C11" s="75"/>
      <c r="D11" s="75"/>
      <c r="E11" s="75"/>
      <c r="F11" s="76"/>
      <c r="G11" s="26">
        <v>0.22719709581394176</v>
      </c>
      <c r="H11" s="23" t="s">
        <v>38</v>
      </c>
      <c r="I11" s="2"/>
    </row>
    <row r="12" spans="1:9" x14ac:dyDescent="0.25">
      <c r="A12" s="2"/>
      <c r="B12" s="71" t="s">
        <v>15</v>
      </c>
      <c r="C12" s="72"/>
      <c r="D12" s="72"/>
      <c r="E12" s="72"/>
      <c r="F12" s="73"/>
      <c r="G12" s="21">
        <f>($G$9+G10)*(1+'Fane 2.1. Økonomisk ramme 2018'!E20/100)*($G$11/100)</f>
        <v>141563.82280181174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53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2018'!E17,'Fane 2.1. Økonomisk ramme 2018'!E19))</f>
        <v>25612867.678605083</v>
      </c>
      <c r="H9" s="23" t="s">
        <v>4</v>
      </c>
      <c r="I9" s="2"/>
    </row>
    <row r="10" spans="1:9" x14ac:dyDescent="0.25">
      <c r="A10" s="2"/>
      <c r="B10" s="43" t="s">
        <v>198</v>
      </c>
      <c r="C10" s="44"/>
      <c r="D10" s="44"/>
      <c r="E10" s="44"/>
      <c r="F10" s="45"/>
      <c r="G10" s="12">
        <v>-505424.24727100536</v>
      </c>
      <c r="H10" s="23" t="s">
        <v>4</v>
      </c>
      <c r="I10" s="2"/>
    </row>
    <row r="11" spans="1:9" x14ac:dyDescent="0.25">
      <c r="A11" s="2"/>
      <c r="B11" s="86" t="s">
        <v>16</v>
      </c>
      <c r="C11" s="75"/>
      <c r="D11" s="75"/>
      <c r="E11" s="75"/>
      <c r="F11" s="76"/>
      <c r="G11" s="27">
        <f>2</f>
        <v>2</v>
      </c>
      <c r="H11" s="23" t="s">
        <v>38</v>
      </c>
      <c r="I11" s="2"/>
    </row>
    <row r="12" spans="1:9" x14ac:dyDescent="0.25">
      <c r="A12" s="2"/>
      <c r="B12" s="87" t="s">
        <v>39</v>
      </c>
      <c r="C12" s="88"/>
      <c r="D12" s="88"/>
      <c r="E12" s="88"/>
      <c r="F12" s="89"/>
      <c r="G12" s="18">
        <f>($G$9+$G$10)*(1+'Fane 2.1. Økonomisk ramme 2018'!E20/100)*$G$11/100</f>
        <v>510936.47382764856</v>
      </c>
      <c r="H12" s="28" t="s">
        <v>4</v>
      </c>
      <c r="I12" s="2"/>
    </row>
    <row r="13" spans="1:9" x14ac:dyDescent="0.25">
      <c r="A13" s="2"/>
      <c r="B13" s="86" t="s">
        <v>48</v>
      </c>
      <c r="C13" s="75"/>
      <c r="D13" s="75"/>
      <c r="E13" s="75"/>
      <c r="F13" s="76"/>
      <c r="G13" s="12">
        <f>'Fane 3. Korrigeret grundlag'!G10+SUM('Fane 2.1. Økonomisk ramme 2018'!E15,'Fane 2.1. Økonomisk ramme 2018'!E18)</f>
        <v>36571799.778910205</v>
      </c>
      <c r="H13" s="23" t="s">
        <v>4</v>
      </c>
      <c r="I13" s="2"/>
    </row>
    <row r="14" spans="1:9" x14ac:dyDescent="0.25">
      <c r="A14" s="2"/>
      <c r="B14" s="37" t="s">
        <v>200</v>
      </c>
      <c r="C14" s="38"/>
      <c r="D14" s="38"/>
      <c r="E14" s="38"/>
      <c r="F14" s="39"/>
      <c r="G14" s="12">
        <v>-330040.543692654</v>
      </c>
      <c r="H14" s="23" t="s">
        <v>4</v>
      </c>
      <c r="I14" s="2"/>
    </row>
    <row r="15" spans="1:9" x14ac:dyDescent="0.25">
      <c r="A15" s="2"/>
      <c r="B15" s="86" t="s">
        <v>16</v>
      </c>
      <c r="C15" s="75"/>
      <c r="D15" s="75"/>
      <c r="E15" s="75"/>
      <c r="F15" s="76"/>
      <c r="G15" s="26">
        <v>1.77</v>
      </c>
      <c r="H15" s="23" t="s">
        <v>38</v>
      </c>
      <c r="I15" s="2"/>
    </row>
    <row r="16" spans="1:9" x14ac:dyDescent="0.25">
      <c r="A16" s="2"/>
      <c r="B16" s="87" t="s">
        <v>40</v>
      </c>
      <c r="C16" s="88"/>
      <c r="D16" s="88"/>
      <c r="E16" s="88"/>
      <c r="F16" s="89"/>
      <c r="G16" s="18">
        <f>($G$13+$G$14)*(1+'Fane 2.1. Økonomisk ramme 2018'!E20/100)*$G$15/100</f>
        <v>652705.02338645933</v>
      </c>
      <c r="H16" s="28" t="s">
        <v>4</v>
      </c>
      <c r="I16" s="2"/>
    </row>
    <row r="17" spans="1:9" x14ac:dyDescent="0.25">
      <c r="A17" s="2"/>
      <c r="B17" s="71" t="s">
        <v>52</v>
      </c>
      <c r="C17" s="72"/>
      <c r="D17" s="72"/>
      <c r="E17" s="72"/>
      <c r="F17" s="73"/>
      <c r="G17" s="21">
        <f>G12+G16</f>
        <v>1163641.4972141078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1" t="s">
        <v>54</v>
      </c>
      <c r="C8" s="72"/>
      <c r="D8" s="72"/>
      <c r="E8" s="72"/>
      <c r="F8" s="72"/>
      <c r="G8" s="72"/>
      <c r="H8" s="73"/>
      <c r="I8" s="2"/>
    </row>
    <row r="9" spans="1:9" x14ac:dyDescent="0.25">
      <c r="A9" s="2"/>
      <c r="B9" s="86" t="s">
        <v>42</v>
      </c>
      <c r="C9" s="75"/>
      <c r="D9" s="75"/>
      <c r="E9" s="75"/>
      <c r="F9" s="76"/>
      <c r="G9" s="12">
        <v>-3040297</v>
      </c>
      <c r="H9" s="23" t="s">
        <v>4</v>
      </c>
      <c r="I9" s="2"/>
    </row>
    <row r="10" spans="1:9" x14ac:dyDescent="0.25">
      <c r="A10" s="2"/>
      <c r="B10" s="86" t="s">
        <v>122</v>
      </c>
      <c r="C10" s="75"/>
      <c r="D10" s="75"/>
      <c r="E10" s="75"/>
      <c r="F10" s="76"/>
      <c r="G10" s="12">
        <v>-1636643.2433862432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-1403653.7566137568</v>
      </c>
      <c r="H11" s="29" t="s">
        <v>4</v>
      </c>
      <c r="I11" s="2"/>
    </row>
    <row r="12" spans="1:9" x14ac:dyDescent="0.25">
      <c r="A12" s="2"/>
      <c r="B12" s="86" t="s">
        <v>43</v>
      </c>
      <c r="C12" s="75"/>
      <c r="D12" s="75"/>
      <c r="E12" s="75"/>
      <c r="F12" s="76"/>
      <c r="G12" s="12">
        <v>3</v>
      </c>
      <c r="H12" s="23" t="s">
        <v>127</v>
      </c>
      <c r="I12" s="2"/>
    </row>
    <row r="13" spans="1:9" x14ac:dyDescent="0.25">
      <c r="A13" s="2"/>
      <c r="B13" s="71" t="s">
        <v>41</v>
      </c>
      <c r="C13" s="72"/>
      <c r="D13" s="72"/>
      <c r="E13" s="72"/>
      <c r="F13" s="73"/>
      <c r="G13" s="21">
        <f>IF(G12 = 0,0,G11/G12)</f>
        <v>-467884.5855379189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1" t="s">
        <v>75</v>
      </c>
      <c r="C8" s="72"/>
      <c r="D8" s="72"/>
      <c r="E8" s="72"/>
      <c r="F8" s="72"/>
      <c r="G8" s="73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50</v>
      </c>
      <c r="E10" s="12">
        <v>70020.009999999995</v>
      </c>
      <c r="F10" s="12">
        <f>E10/D10</f>
        <v>1400.4001999999998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75</v>
      </c>
      <c r="E11" s="12">
        <v>3592804.74</v>
      </c>
      <c r="F11" s="12">
        <f t="shared" ref="F11:F32" si="0">E11/D11</f>
        <v>47904.063200000004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75</v>
      </c>
      <c r="E12" s="12">
        <v>10006235.890000001</v>
      </c>
      <c r="F12" s="12">
        <f t="shared" si="0"/>
        <v>133416.47853333334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75</v>
      </c>
      <c r="E13" s="12">
        <v>47790.89</v>
      </c>
      <c r="F13" s="12">
        <f t="shared" si="0"/>
        <v>637.21186666666665</v>
      </c>
      <c r="G13" s="23" t="s">
        <v>4</v>
      </c>
      <c r="H13" s="2"/>
    </row>
    <row r="14" spans="1:8" x14ac:dyDescent="0.25">
      <c r="A14" s="2"/>
      <c r="B14" s="103" t="s">
        <v>153</v>
      </c>
      <c r="C14" s="30">
        <v>2016</v>
      </c>
      <c r="D14" s="30">
        <v>50</v>
      </c>
      <c r="E14" s="12">
        <v>951742.11</v>
      </c>
      <c r="F14" s="12">
        <f t="shared" si="0"/>
        <v>19034.842199999999</v>
      </c>
      <c r="G14" s="23" t="s">
        <v>4</v>
      </c>
      <c r="H14" s="2"/>
    </row>
    <row r="15" spans="1:8" ht="26.25" x14ac:dyDescent="0.25">
      <c r="A15" s="2"/>
      <c r="B15" s="103" t="s">
        <v>154</v>
      </c>
      <c r="C15" s="30">
        <v>2016</v>
      </c>
      <c r="D15" s="30">
        <v>50</v>
      </c>
      <c r="E15" s="12">
        <v>23312</v>
      </c>
      <c r="F15" s="12">
        <f t="shared" si="0"/>
        <v>466.24</v>
      </c>
      <c r="G15" s="23" t="s">
        <v>4</v>
      </c>
      <c r="H15" s="2"/>
    </row>
    <row r="16" spans="1:8" ht="26.25" x14ac:dyDescent="0.25">
      <c r="A16" s="2"/>
      <c r="B16" s="103" t="s">
        <v>155</v>
      </c>
      <c r="C16" s="30">
        <v>2016</v>
      </c>
      <c r="D16" s="30">
        <v>30</v>
      </c>
      <c r="E16" s="12">
        <v>100469.13</v>
      </c>
      <c r="F16" s="12">
        <f t="shared" si="0"/>
        <v>3348.971</v>
      </c>
      <c r="G16" s="23" t="s">
        <v>4</v>
      </c>
      <c r="H16" s="2"/>
    </row>
    <row r="17" spans="1:8" ht="26.25" x14ac:dyDescent="0.25">
      <c r="A17" s="2"/>
      <c r="B17" s="103" t="s">
        <v>156</v>
      </c>
      <c r="C17" s="30">
        <v>2016</v>
      </c>
      <c r="D17" s="30">
        <v>50</v>
      </c>
      <c r="E17" s="12">
        <v>36280.449999999997</v>
      </c>
      <c r="F17" s="12">
        <f t="shared" si="0"/>
        <v>725.60899999999992</v>
      </c>
      <c r="G17" s="23" t="s">
        <v>4</v>
      </c>
      <c r="H17" s="2"/>
    </row>
    <row r="18" spans="1:8" x14ac:dyDescent="0.25">
      <c r="A18" s="2"/>
      <c r="B18" s="103" t="s">
        <v>157</v>
      </c>
      <c r="C18" s="30">
        <v>2016</v>
      </c>
      <c r="D18" s="30">
        <v>20</v>
      </c>
      <c r="E18" s="12">
        <v>3366692.2</v>
      </c>
      <c r="F18" s="12">
        <f t="shared" si="0"/>
        <v>168334.61000000002</v>
      </c>
      <c r="G18" s="23" t="s">
        <v>4</v>
      </c>
      <c r="H18" s="2"/>
    </row>
    <row r="19" spans="1:8" x14ac:dyDescent="0.25">
      <c r="A19" s="2"/>
      <c r="B19" s="103" t="s">
        <v>158</v>
      </c>
      <c r="C19" s="30">
        <v>2016</v>
      </c>
      <c r="D19" s="30">
        <v>10</v>
      </c>
      <c r="E19" s="12">
        <v>675381.5</v>
      </c>
      <c r="F19" s="12">
        <f t="shared" si="0"/>
        <v>67538.149999999994</v>
      </c>
      <c r="G19" s="23" t="s">
        <v>4</v>
      </c>
      <c r="H19" s="2"/>
    </row>
    <row r="20" spans="1:8" x14ac:dyDescent="0.25">
      <c r="A20" s="2"/>
      <c r="B20" s="103" t="s">
        <v>159</v>
      </c>
      <c r="C20" s="30">
        <v>2016</v>
      </c>
      <c r="D20" s="30">
        <v>5</v>
      </c>
      <c r="E20" s="12">
        <v>29394</v>
      </c>
      <c r="F20" s="12">
        <f t="shared" si="0"/>
        <v>5878.8</v>
      </c>
      <c r="G20" s="23" t="s">
        <v>4</v>
      </c>
      <c r="H20" s="2"/>
    </row>
    <row r="21" spans="1:8" x14ac:dyDescent="0.25">
      <c r="A21" s="2"/>
      <c r="B21" s="103" t="s">
        <v>157</v>
      </c>
      <c r="C21" s="30">
        <v>2016</v>
      </c>
      <c r="D21" s="30">
        <v>20</v>
      </c>
      <c r="E21" s="12">
        <v>40410.31</v>
      </c>
      <c r="F21" s="12">
        <f t="shared" si="0"/>
        <v>2020.5155</v>
      </c>
      <c r="G21" s="23" t="s">
        <v>4</v>
      </c>
      <c r="H21" s="2"/>
    </row>
    <row r="22" spans="1:8" x14ac:dyDescent="0.25">
      <c r="A22" s="2"/>
      <c r="B22" s="103" t="s">
        <v>160</v>
      </c>
      <c r="C22" s="30">
        <v>2016</v>
      </c>
      <c r="D22" s="30">
        <v>60</v>
      </c>
      <c r="E22" s="12">
        <v>90875.58</v>
      </c>
      <c r="F22" s="12">
        <f t="shared" si="0"/>
        <v>1514.5930000000001</v>
      </c>
      <c r="G22" s="23" t="s">
        <v>4</v>
      </c>
      <c r="H22" s="2"/>
    </row>
    <row r="23" spans="1:8" x14ac:dyDescent="0.25">
      <c r="A23" s="2"/>
      <c r="B23" s="103" t="s">
        <v>161</v>
      </c>
      <c r="C23" s="30">
        <v>2016</v>
      </c>
      <c r="D23" s="30">
        <v>20</v>
      </c>
      <c r="E23" s="12">
        <v>266435.06</v>
      </c>
      <c r="F23" s="12">
        <f t="shared" si="0"/>
        <v>13321.753000000001</v>
      </c>
      <c r="G23" s="23" t="s">
        <v>4</v>
      </c>
      <c r="H23" s="2"/>
    </row>
    <row r="24" spans="1:8" x14ac:dyDescent="0.25">
      <c r="A24" s="2"/>
      <c r="B24" s="103" t="s">
        <v>162</v>
      </c>
      <c r="C24" s="30">
        <v>2016</v>
      </c>
      <c r="D24" s="30">
        <v>10</v>
      </c>
      <c r="E24" s="12">
        <v>263100.2</v>
      </c>
      <c r="F24" s="12">
        <f t="shared" si="0"/>
        <v>26310.02</v>
      </c>
      <c r="G24" s="23" t="s">
        <v>4</v>
      </c>
      <c r="H24" s="2"/>
    </row>
    <row r="25" spans="1:8" x14ac:dyDescent="0.25">
      <c r="A25" s="2"/>
      <c r="B25" s="103" t="s">
        <v>163</v>
      </c>
      <c r="C25" s="30">
        <v>2016</v>
      </c>
      <c r="D25" s="30">
        <v>20</v>
      </c>
      <c r="E25" s="12">
        <v>789338.46</v>
      </c>
      <c r="F25" s="12">
        <f t="shared" si="0"/>
        <v>39466.922999999995</v>
      </c>
      <c r="G25" s="23" t="s">
        <v>4</v>
      </c>
      <c r="H25" s="2"/>
    </row>
    <row r="26" spans="1:8" x14ac:dyDescent="0.25">
      <c r="A26" s="2"/>
      <c r="B26" s="103" t="s">
        <v>164</v>
      </c>
      <c r="C26" s="30">
        <v>2016</v>
      </c>
      <c r="D26" s="30">
        <v>10</v>
      </c>
      <c r="E26" s="12">
        <v>101072.52</v>
      </c>
      <c r="F26" s="12">
        <f t="shared" si="0"/>
        <v>10107.252</v>
      </c>
      <c r="G26" s="23" t="s">
        <v>4</v>
      </c>
      <c r="H26" s="2"/>
    </row>
    <row r="27" spans="1:8" x14ac:dyDescent="0.25">
      <c r="A27" s="2"/>
      <c r="B27" s="103" t="s">
        <v>165</v>
      </c>
      <c r="C27" s="30">
        <v>2016</v>
      </c>
      <c r="D27" s="30">
        <v>20</v>
      </c>
      <c r="E27" s="12">
        <v>258547.45</v>
      </c>
      <c r="F27" s="12">
        <f t="shared" si="0"/>
        <v>12927.372500000001</v>
      </c>
      <c r="G27" s="23" t="s">
        <v>4</v>
      </c>
      <c r="H27" s="2"/>
    </row>
    <row r="28" spans="1:8" x14ac:dyDescent="0.25">
      <c r="A28" s="2"/>
      <c r="B28" s="103" t="s">
        <v>166</v>
      </c>
      <c r="C28" s="30">
        <v>2016</v>
      </c>
      <c r="D28" s="30">
        <v>10</v>
      </c>
      <c r="E28" s="12">
        <v>34602.07</v>
      </c>
      <c r="F28" s="12">
        <f t="shared" si="0"/>
        <v>3460.2069999999999</v>
      </c>
      <c r="G28" s="23" t="s">
        <v>4</v>
      </c>
      <c r="H28" s="2"/>
    </row>
    <row r="29" spans="1:8" x14ac:dyDescent="0.25">
      <c r="A29" s="2"/>
      <c r="B29" s="103" t="s">
        <v>167</v>
      </c>
      <c r="C29" s="30">
        <v>2016</v>
      </c>
      <c r="D29" s="30">
        <v>20</v>
      </c>
      <c r="E29" s="12">
        <v>785106.64</v>
      </c>
      <c r="F29" s="12">
        <f t="shared" si="0"/>
        <v>39255.332000000002</v>
      </c>
      <c r="G29" s="23" t="s">
        <v>4</v>
      </c>
      <c r="H29" s="2"/>
    </row>
    <row r="30" spans="1:8" x14ac:dyDescent="0.25">
      <c r="A30" s="2"/>
      <c r="B30" s="103" t="s">
        <v>168</v>
      </c>
      <c r="C30" s="30">
        <v>2016</v>
      </c>
      <c r="D30" s="30">
        <v>10</v>
      </c>
      <c r="E30" s="12">
        <v>241775.02</v>
      </c>
      <c r="F30" s="12">
        <f t="shared" si="0"/>
        <v>24177.502</v>
      </c>
      <c r="G30" s="23" t="s">
        <v>4</v>
      </c>
      <c r="H30" s="2"/>
    </row>
    <row r="31" spans="1:8" x14ac:dyDescent="0.25">
      <c r="A31" s="2"/>
      <c r="B31" s="103" t="s">
        <v>169</v>
      </c>
      <c r="C31" s="30">
        <v>2016</v>
      </c>
      <c r="D31" s="30">
        <v>10</v>
      </c>
      <c r="E31" s="12">
        <v>66470.45</v>
      </c>
      <c r="F31" s="12">
        <f t="shared" si="0"/>
        <v>6647.0450000000001</v>
      </c>
      <c r="G31" s="23" t="s">
        <v>4</v>
      </c>
      <c r="H31" s="2"/>
    </row>
    <row r="32" spans="1:8" x14ac:dyDescent="0.25">
      <c r="A32" s="2"/>
      <c r="B32" s="103" t="s">
        <v>170</v>
      </c>
      <c r="C32" s="30">
        <v>2016</v>
      </c>
      <c r="D32" s="30">
        <v>20</v>
      </c>
      <c r="E32" s="12">
        <v>969408.09</v>
      </c>
      <c r="F32" s="12">
        <f t="shared" si="0"/>
        <v>48470.404499999997</v>
      </c>
      <c r="G32" s="23" t="s">
        <v>4</v>
      </c>
      <c r="H32" s="2"/>
    </row>
    <row r="33" spans="1:8" x14ac:dyDescent="0.25">
      <c r="A33" s="2"/>
      <c r="B33" s="71" t="s">
        <v>76</v>
      </c>
      <c r="C33" s="72"/>
      <c r="D33" s="72"/>
      <c r="E33" s="73"/>
      <c r="F33" s="21">
        <f>SUM(F10:F32)</f>
        <v>676364.29550000012</v>
      </c>
      <c r="G33" s="22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2018-08-13T10:23:10Z</dcterms:modified>
</cp:coreProperties>
</file>