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27" i="11" l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28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9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<sst xmlns="http://schemas.openxmlformats.org/spreadsheetml/2006/main" count="369" uniqueCount="190">
  <si>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</si>
  <si>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</si>
  <si>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</si>
  <si>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</si>
  <si>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</si>
  <si>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</si>
  <si>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</si>
  <si>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</si>
  <si>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</si>
  <si>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</si>
  <si>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</si>
  <si>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</si>
  <si>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</si>
  <si>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</si>
  <si>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</si>
  <si>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</si>
  <si>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</si>
  <si>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</si>
  <si>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</si>
  <si>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</si>
  <si>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</si>
  <si>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</si>
  <si>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</si>
  <si>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</si>
  <si>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</si>
  <si>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</si>
  <si>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</si>
  <si>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</si>
  <si>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</si>
  <si>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</si>
  <si>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</si>
  <si>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</si>
  <si>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</si>
  <si>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</si>
  <si>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</si>
  <si>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</si>
  <si>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</si>
  <si>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</si>
  <si>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</si>
  <si>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</si>
  <si>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</si>
  <si>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</si>
  <si>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</si>
  <si>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</si>
  <si>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</si>
  <si>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</si>
  <si>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</si>
  <si>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</si>
  <si>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</si>
  <si>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</si>
  <si>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</si>
  <si>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</si>
  <si>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</si>
  <si>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</si>
  <si>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</si>
  <si>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</si>
  <si>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</si>
  <si>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</si>
  <si>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</si>
  <si>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</si>
  <si>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</si>
  <si>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</si>
  <si>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</si>
  <si>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</si>
  <si>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</si>
  <si>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</si>
  <si>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</si>
  <si>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</si>
  <si>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</si>
  <si>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</si>
  <si>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</si>
  <si>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</si>
  <si>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</si>
  <si>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</si>
  <si>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</si>
  <si>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</si>
  <si>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</si>
  <si>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</si>
  <si>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</si>
  <si>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</si>
  <si>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</si>
  <si>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</si>
  <si>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</si>
  <si>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</si>
  <si>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</si>
  <si>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</si>
  <si>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</si>
  <si>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</si>
  <si>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</si>
  <si>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</si>
  <si>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</si>
  <si>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</si>
  <si>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</si>
  <si>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</si>
  <si>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</si>
  <si>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</si>
  <si>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</si>
  <si>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</si>
  <si>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</si>
  <si>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</si>
  <si>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</si>
  <si>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</si>
  <si>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</si>
  <si>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</si>
  <si>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</si>
  <si>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</si>
  <si>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</si>
  <si>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</si>
  <si>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</si>
  <si>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</si>
  <si>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</si>
  <si>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</si>
  <si>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</si>
  <si>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</si>
  <si>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</si>
  <si>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</si>
  <si>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</si>
  <si>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</si>
  <si>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</si>
  <si>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</si>
  <si>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</si>
  <si>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</si>
  <si>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</si>
  <si>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</si>
  <si>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</si>
  <si>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</si>
  <si>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</si>
  <si>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</si>
  <si>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</si>
  <si>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</si>
  <si>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</si>
  <si>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</si>
  <si>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</si>
  <si>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</si>
  <si>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</si>
  <si>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</si>
  <si>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</si>
  <si>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</si>
  <si>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</si>
  <si>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</si>
  <si>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</si>
  <si>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</si>
  <si>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</si>
  <si>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</si>
  <si>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</si>
  <si>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</si>
  <si>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Ø 200 mm &lt; Ledningsnet ≤ Ø 500 mm</t>
  </si>
  <si>
    <t>Ø 500 mm &lt; Ledningsnet ≤ Ø 800 mm</t>
  </si>
  <si>
    <t>Ø 800 mm &lt; Ledningsnet ≤ Ø 1000 mm</t>
  </si>
  <si>
    <t>Brønde</t>
  </si>
  <si>
    <t>Stik</t>
  </si>
  <si>
    <t>Tryksatte minipumpestationer (husstandssystemer)</t>
  </si>
  <si>
    <t>Pumpestationer i brønde (&lt; 6,25 m2), Konstruktioner</t>
  </si>
  <si>
    <t>Jordbassin Klasse B</t>
  </si>
  <si>
    <t>Arbejdsplads</t>
  </si>
  <si>
    <t>Køretøjer, entreprenørmaskiner</t>
  </si>
  <si>
    <t>Pumpestationer m. overbygning (&lt; 20 m2), Mek/EL</t>
  </si>
  <si>
    <t>Pumpestationer m. overbygning (&lt; 20 m2), SRO</t>
  </si>
  <si>
    <t>Overbygning</t>
  </si>
  <si>
    <t>Pumpestationer m. overbygning (&lt; 20 m2), Konstruktioner</t>
  </si>
  <si>
    <t>Mindre renseanlæg &lt; 5.000 PE uden mulighed for opdeling</t>
  </si>
  <si>
    <t>Strømpeforing ≤ Ø 200 mm</t>
  </si>
  <si>
    <t>Strømpeforing Ø 200 mm &lt; Ledningsnet ≤ Ø 500 mm</t>
  </si>
  <si>
    <t>Strømpeforing Ø 500 mm &lt; Ledningsnet ≤ Ø 800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</si>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</sst>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179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833724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717260</v>
      </c>
      <c r="H10" s="23" t="s">
        <v>4</v>
      </c>
      <c r="I10" s="2"/>
    </row>
    <row r="11" spans="1:9" x14ac:dyDescent="0.25">
      <c r="A11" s="2"/>
      <c r="B11" s="83" t="s">
        <v>180</v>
      </c>
      <c r="C11" s="84"/>
      <c r="D11" s="84"/>
      <c r="E11" s="84"/>
      <c r="F11" s="85"/>
      <c r="G11" s="21">
        <f>G9-G10</f>
        <v>116464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181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907101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0</v>
      </c>
      <c r="H16" s="23" t="s">
        <v>4</v>
      </c>
      <c r="I16" s="2"/>
    </row>
    <row r="17" spans="1:9" x14ac:dyDescent="0.25">
      <c r="A17" s="2"/>
      <c r="B17" s="83" t="s">
        <v>181</v>
      </c>
      <c r="C17" s="84"/>
      <c r="D17" s="84"/>
      <c r="E17" s="84"/>
      <c r="F17" s="85"/>
      <c r="G17" s="21">
        <f>G15-G16</f>
        <v>907101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182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743296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650000</v>
      </c>
      <c r="H22" s="23" t="s">
        <v>4</v>
      </c>
      <c r="I22" s="2"/>
    </row>
    <row r="23" spans="1:9" x14ac:dyDescent="0.25">
      <c r="A23" s="2"/>
      <c r="B23" s="83" t="s">
        <v>182</v>
      </c>
      <c r="C23" s="84"/>
      <c r="D23" s="84"/>
      <c r="E23" s="84"/>
      <c r="F23" s="85"/>
      <c r="G23" s="21">
        <f>G21-G22</f>
        <v>93296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183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0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0</v>
      </c>
      <c r="H28" s="23" t="s">
        <v>4</v>
      </c>
      <c r="I28" s="2"/>
    </row>
    <row r="29" spans="1:9" ht="15" customHeight="1" x14ac:dyDescent="0.25">
      <c r="A29" s="2"/>
      <c r="B29" s="88" t="s">
        <v>183</v>
      </c>
      <c r="C29" s="89"/>
      <c r="D29" s="89"/>
      <c r="E29" s="89"/>
      <c r="F29" s="90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2016'!F29</f>
        <v>1020252.43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133333.33333333334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886919.09666666668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29627074.501340076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16022012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1524558.2615789475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389471.06000000006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266667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18202708.321578946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582400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582400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-3402050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-11105075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-498298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-1116058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-107520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-16229001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2556107.321578946</v>
      </c>
      <c r="F28" s="28" t="s">
        <v>4</v>
      </c>
      <c r="G28" s="1">
        <f>IF(E28&lt;0,0,-E28)</f>
        <v>-2556107.321578946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25269930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1625555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26895485</v>
      </c>
      <c r="F35" s="28" t="s">
        <v>4</v>
      </c>
      <c r="G35" s="18">
        <f>-E35</f>
        <v>-26895485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175482.17976113036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176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2" t="s">
        <v>177</v>
      </c>
      <c r="C10" s="103"/>
      <c r="D10" s="104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133</v>
      </c>
      <c r="C11" s="84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3" t="s">
        <v>145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172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189</v>
      </c>
      <c r="C16" s="77"/>
      <c r="D16" s="77"/>
      <c r="E16" s="78"/>
      <c r="F16" s="98" t="s">
        <v>173</v>
      </c>
      <c r="G16" s="98"/>
      <c r="H16" s="2"/>
    </row>
    <row r="17" spans="1:8" x14ac:dyDescent="0.25">
      <c r="A17" s="2"/>
      <c r="B17" s="73" t="s">
        <v>185</v>
      </c>
      <c r="C17" s="74"/>
      <c r="D17" s="74"/>
      <c r="E17" s="75"/>
      <c r="F17" s="12">
        <v>0</v>
      </c>
      <c r="G17" s="23" t="s">
        <v>4</v>
      </c>
      <c r="H17" s="2"/>
    </row>
    <row r="18" spans="1:8" x14ac:dyDescent="0.25">
      <c r="A18" s="2"/>
      <c r="B18" s="83" t="s">
        <v>174</v>
      </c>
      <c r="C18" s="84"/>
      <c r="D18" s="84"/>
      <c r="E18" s="85"/>
      <c r="F18" s="21">
        <f>SUM(F17:F17)</f>
        <v>0</v>
      </c>
      <c r="G18" s="22" t="s">
        <v>4</v>
      </c>
      <c r="H18" s="2"/>
    </row>
    <row r="19" spans="1:8" x14ac:dyDescent="0.25">
      <c r="A19" s="2"/>
      <c r="B19" s="83" t="s">
        <v>175</v>
      </c>
      <c r="C19" s="84"/>
      <c r="D19" s="84"/>
      <c r="E19" s="85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5" t="s">
        <v>184</v>
      </c>
      <c r="C10" s="106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34544142.385145716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873833.01569773548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omk.'!G19</f>
        <v>-90199.926893999931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187</v>
      </c>
      <c r="C12" s="38"/>
      <c r="D12" s="39"/>
      <c r="E12" s="12">
        <f>'Fane 5. Individuelt eff.krav'!G10</f>
        <v>-470160.38529013563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172</v>
      </c>
      <c r="C15" s="71"/>
      <c r="D15" s="72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7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9" t="s">
        <v>123</v>
      </c>
      <c r="C19" s="74"/>
      <c r="D19" s="75"/>
      <c r="E19" s="12">
        <f>SUM(E9,E11:E17)*(E18/100)</f>
        <v>594716.18627682759</v>
      </c>
      <c r="F19" s="9" t="s">
        <v>4</v>
      </c>
      <c r="G19" s="13"/>
      <c r="H19" s="14"/>
      <c r="I19" s="2"/>
    </row>
    <row r="20" spans="1:9" x14ac:dyDescent="0.25">
      <c r="A20" s="2"/>
      <c r="B20" s="73" t="s">
        <v>15</v>
      </c>
      <c r="C20" s="74"/>
      <c r="D20" s="75"/>
      <c r="E20" s="12">
        <f>'Fane 5. Individuelt eff.krav'!G12</f>
        <v>123347.17691285681</v>
      </c>
      <c r="F20" s="9" t="s">
        <v>4</v>
      </c>
      <c r="G20" s="15"/>
      <c r="H20" s="14"/>
      <c r="I20" s="2"/>
    </row>
    <row r="21" spans="1:9" x14ac:dyDescent="0.25">
      <c r="A21" s="2"/>
      <c r="B21" s="73" t="s">
        <v>16</v>
      </c>
      <c r="C21" s="74"/>
      <c r="D21" s="75"/>
      <c r="E21" s="12">
        <f>'Fane 6. Generelt eff.krav'!G17</f>
        <v>625800.50415355759</v>
      </c>
      <c r="F21" s="9" t="s">
        <v>4</v>
      </c>
      <c r="G21" s="16"/>
      <c r="H21" s="17"/>
      <c r="I21" s="2"/>
    </row>
    <row r="22" spans="1:9" x14ac:dyDescent="0.25">
      <c r="A22" s="2"/>
      <c r="B22" s="80" t="s">
        <v>178</v>
      </c>
      <c r="C22" s="81"/>
      <c r="D22" s="82"/>
      <c r="E22" s="18">
        <f>SUM(E9,E11:E17,E19)-SUM(E20:E21)</f>
        <v>33829350.578171991</v>
      </c>
      <c r="F22" s="19" t="s">
        <v>4</v>
      </c>
      <c r="G22" s="18">
        <f>E22</f>
        <v>33829350.578171991</v>
      </c>
      <c r="H22" s="19" t="s">
        <v>4</v>
      </c>
      <c r="I22" s="2"/>
    </row>
    <row r="23" spans="1:9" x14ac:dyDescent="0.25">
      <c r="A23" s="2"/>
      <c r="B23" s="83" t="s">
        <v>17</v>
      </c>
      <c r="C23" s="84"/>
      <c r="D23" s="84"/>
      <c r="E23" s="84"/>
      <c r="F23" s="84"/>
      <c r="G23" s="84"/>
      <c r="H23" s="85"/>
      <c r="I23" s="2"/>
    </row>
    <row r="24" spans="1:9" x14ac:dyDescent="0.25">
      <c r="A24" s="2"/>
      <c r="B24" s="76" t="s">
        <v>55</v>
      </c>
      <c r="C24" s="77"/>
      <c r="D24" s="78"/>
      <c r="E24" s="18">
        <f>'Fane 7. Hist. over el. underdæk'!G13</f>
        <v>-1357830</v>
      </c>
      <c r="F24" s="19" t="s">
        <v>4</v>
      </c>
      <c r="G24" s="18">
        <f>E24</f>
        <v>-1357830</v>
      </c>
      <c r="H24" s="19" t="s">
        <v>4</v>
      </c>
      <c r="I24" s="2"/>
    </row>
    <row r="25" spans="1:9" x14ac:dyDescent="0.25">
      <c r="A25" s="2"/>
      <c r="B25" s="83" t="s">
        <v>98</v>
      </c>
      <c r="C25" s="84"/>
      <c r="D25" s="84"/>
      <c r="E25" s="84"/>
      <c r="F25" s="84"/>
      <c r="G25" s="84"/>
      <c r="H25" s="85"/>
      <c r="I25" s="2"/>
    </row>
    <row r="26" spans="1:9" x14ac:dyDescent="0.25">
      <c r="A26" s="2"/>
      <c r="B26" s="70" t="s">
        <v>105</v>
      </c>
      <c r="C26" s="71"/>
      <c r="D26" s="72"/>
      <c r="E26" s="12">
        <f>'Fane 9. Korrektion af PL2016'!G11</f>
        <v>116464</v>
      </c>
      <c r="F26" s="9" t="s">
        <v>4</v>
      </c>
      <c r="G26" s="20"/>
      <c r="H26" s="11"/>
      <c r="I26" s="2"/>
    </row>
    <row r="27" spans="1:9" x14ac:dyDescent="0.25">
      <c r="A27" s="2"/>
      <c r="B27" s="70" t="s">
        <v>99</v>
      </c>
      <c r="C27" s="71"/>
      <c r="D27" s="72"/>
      <c r="E27" s="12">
        <f>'Fane 9. Korrektion af PL2016'!G17</f>
        <v>907101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0" t="s">
        <v>100</v>
      </c>
      <c r="C28" s="71"/>
      <c r="D28" s="72"/>
      <c r="E28" s="12">
        <f>'Fane 9. Korrektion af PL2016'!G23</f>
        <v>93296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0" t="s">
        <v>101</v>
      </c>
      <c r="C29" s="71"/>
      <c r="D29" s="72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0" t="s">
        <v>102</v>
      </c>
      <c r="C30" s="71"/>
      <c r="D30" s="72"/>
      <c r="E30" s="12">
        <f>'Fane 9. Korrektion af PL2016'!G35</f>
        <v>886919.09666666668</v>
      </c>
      <c r="F30" s="9" t="s">
        <v>4</v>
      </c>
      <c r="G30" s="15"/>
      <c r="H30" s="14"/>
      <c r="I30" s="2"/>
    </row>
    <row r="31" spans="1:9" x14ac:dyDescent="0.25">
      <c r="A31" s="2"/>
      <c r="B31" s="76" t="s">
        <v>103</v>
      </c>
      <c r="C31" s="77"/>
      <c r="D31" s="78"/>
      <c r="E31" s="18">
        <f>SUM(E26:E30)</f>
        <v>2003780.0966666667</v>
      </c>
      <c r="F31" s="19" t="s">
        <v>4</v>
      </c>
      <c r="G31" s="18">
        <f>E31</f>
        <v>2003780.0966666667</v>
      </c>
      <c r="H31" s="19" t="s">
        <v>4</v>
      </c>
      <c r="I31" s="2"/>
    </row>
    <row r="32" spans="1:9" x14ac:dyDescent="0.25">
      <c r="A32" s="2"/>
      <c r="B32" s="83" t="s">
        <v>18</v>
      </c>
      <c r="C32" s="84"/>
      <c r="D32" s="84"/>
      <c r="E32" s="84"/>
      <c r="F32" s="84"/>
      <c r="G32" s="84"/>
      <c r="H32" s="85"/>
      <c r="I32" s="2"/>
    </row>
    <row r="33" spans="1:9" x14ac:dyDescent="0.25">
      <c r="A33" s="2"/>
      <c r="B33" s="76" t="s">
        <v>104</v>
      </c>
      <c r="C33" s="77"/>
      <c r="D33" s="78"/>
      <c r="E33" s="18">
        <f>'Fane 10. Kontrol af PL2016'!G36</f>
        <v>175482.17976113036</v>
      </c>
      <c r="F33" s="19" t="s">
        <v>4</v>
      </c>
      <c r="G33" s="18">
        <f>E33</f>
        <v>175482.17976113036</v>
      </c>
      <c r="H33" s="19" t="s">
        <v>4</v>
      </c>
      <c r="I33" s="2"/>
    </row>
    <row r="34" spans="1:9" x14ac:dyDescent="0.25">
      <c r="A34" s="2"/>
      <c r="B34" s="83" t="s">
        <v>62</v>
      </c>
      <c r="C34" s="84"/>
      <c r="D34" s="84"/>
      <c r="E34" s="84"/>
      <c r="F34" s="85"/>
      <c r="G34" s="21">
        <f>G22+G24+G31+G33</f>
        <v>34650782.854599789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2018'!G22</f>
        <v>33829350.578171991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</f>
        <v>797346.66785780096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592013.63511800987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122722.47428937416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624931.02612008736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178</v>
      </c>
      <c r="C14" s="81"/>
      <c r="D14" s="82"/>
      <c r="E14" s="18">
        <f>$E$9+$E$11-$E$12-$E$13</f>
        <v>33673710.712880537</v>
      </c>
      <c r="F14" s="19" t="s">
        <v>4</v>
      </c>
      <c r="G14" s="18">
        <f>E14</f>
        <v>33673710.712880537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-1357830</v>
      </c>
      <c r="F16" s="19" t="s">
        <v>4</v>
      </c>
      <c r="G16" s="18">
        <f>E16</f>
        <v>-1357830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32315880.712880537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11792290.045313681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21878019.324134305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873833.01569773548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34544142.385145716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164</v>
      </c>
      <c r="C10" s="74"/>
      <c r="D10" s="74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3" t="s">
        <v>165</v>
      </c>
      <c r="C11" s="74"/>
      <c r="D11" s="74"/>
      <c r="E11" s="100">
        <v>216620.70139999999</v>
      </c>
      <c r="F11" s="23" t="s">
        <v>4</v>
      </c>
      <c r="G11" s="12">
        <v>221758</v>
      </c>
      <c r="H11" s="23" t="s">
        <v>4</v>
      </c>
      <c r="I11" s="2"/>
    </row>
    <row r="12" spans="1:9" x14ac:dyDescent="0.25">
      <c r="A12" s="2"/>
      <c r="B12" s="73" t="s">
        <v>166</v>
      </c>
      <c r="C12" s="74"/>
      <c r="D12" s="74"/>
      <c r="E12" s="100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3" t="s">
        <v>167</v>
      </c>
      <c r="C13" s="74"/>
      <c r="D13" s="74"/>
      <c r="E13" s="100">
        <v>32398.416399999998</v>
      </c>
      <c r="F13" s="23" t="s">
        <v>4</v>
      </c>
      <c r="G13" s="12">
        <v>37284</v>
      </c>
      <c r="H13" s="23" t="s">
        <v>4</v>
      </c>
      <c r="I13" s="2"/>
    </row>
    <row r="14" spans="1:9" x14ac:dyDescent="0.25">
      <c r="A14" s="2"/>
      <c r="B14" s="73" t="s">
        <v>168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169</v>
      </c>
      <c r="C15" s="74"/>
      <c r="D15" s="74"/>
      <c r="E15" s="100">
        <v>508169.58960000001</v>
      </c>
      <c r="F15" s="23" t="s">
        <v>4</v>
      </c>
      <c r="G15" s="12">
        <v>406722</v>
      </c>
      <c r="H15" s="23" t="s">
        <v>4</v>
      </c>
      <c r="I15" s="2"/>
    </row>
    <row r="16" spans="1:9" x14ac:dyDescent="0.25">
      <c r="A16" s="2"/>
      <c r="B16" s="73" t="s">
        <v>170</v>
      </c>
      <c r="C16" s="74"/>
      <c r="D16" s="74"/>
      <c r="E16" s="100">
        <v>105683.8694</v>
      </c>
      <c r="F16" s="23" t="s">
        <v>4</v>
      </c>
      <c r="G16" s="12">
        <v>108460</v>
      </c>
      <c r="H16" s="23" t="s">
        <v>4</v>
      </c>
      <c r="I16" s="2"/>
    </row>
    <row r="17" spans="1:9" x14ac:dyDescent="0.25">
      <c r="A17" s="2"/>
      <c r="B17" s="73" t="s">
        <v>171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3" t="s">
        <v>134</v>
      </c>
      <c r="C18" s="84"/>
      <c r="D18" s="84"/>
      <c r="E18" s="84"/>
      <c r="F18" s="85"/>
      <c r="G18" s="21">
        <f>SUM(G10:G17)-SUM(E10:E17)</f>
        <v>-88648.576799999923</v>
      </c>
      <c r="H18" s="22" t="s">
        <v>4</v>
      </c>
      <c r="I18" s="2"/>
    </row>
    <row r="19" spans="1:9" x14ac:dyDescent="0.25">
      <c r="A19" s="2"/>
      <c r="B19" s="83" t="s">
        <v>135</v>
      </c>
      <c r="C19" s="84"/>
      <c r="D19" s="84"/>
      <c r="E19" s="84"/>
      <c r="F19" s="85"/>
      <c r="G19" s="21">
        <f>G18*(1+'Fane 2.1. Økonomisk ramme 2018'!E18/100)</f>
        <v>-90199.926893999931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2018'!E16:E17)</f>
        <v>33670309.369447984</v>
      </c>
      <c r="H9" s="23" t="s">
        <v>4</v>
      </c>
      <c r="I9" s="2"/>
    </row>
    <row r="10" spans="1:9" x14ac:dyDescent="0.25">
      <c r="A10" s="2"/>
      <c r="B10" s="40" t="s">
        <v>187</v>
      </c>
      <c r="C10" s="38"/>
      <c r="D10" s="38"/>
      <c r="E10" s="38"/>
      <c r="F10" s="39"/>
      <c r="G10" s="12">
        <v>-470160.38529013563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0.36513609247213857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2018'!E18/100)*($G$11/100)</f>
        <v>123347.17691285681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11792290.045313681</v>
      </c>
      <c r="H9" s="23" t="s">
        <v>4</v>
      </c>
      <c r="I9" s="2"/>
    </row>
    <row r="10" spans="1:9" x14ac:dyDescent="0.25">
      <c r="A10" s="2"/>
      <c r="B10" s="41" t="s">
        <v>186</v>
      </c>
      <c r="C10" s="42"/>
      <c r="D10" s="42"/>
      <c r="E10" s="42"/>
      <c r="F10" s="43"/>
      <c r="G10" s="12">
        <v>-233512.64137627365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2018'!E18/100)*$G$11/100</f>
        <v>235221.12017012626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21878019.324134305</v>
      </c>
      <c r="H13" s="23" t="s">
        <v>4</v>
      </c>
      <c r="I13" s="2"/>
    </row>
    <row r="14" spans="1:9" x14ac:dyDescent="0.25">
      <c r="A14" s="2"/>
      <c r="B14" s="40" t="s">
        <v>188</v>
      </c>
      <c r="C14" s="38"/>
      <c r="D14" s="38"/>
      <c r="E14" s="38"/>
      <c r="F14" s="39"/>
      <c r="G14" s="12">
        <v>-190911.84160782039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2018'!E18/100)*$G$15/100</f>
        <v>390579.38398343138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625800.50415355759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-13449368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-9375878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-4073490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3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-1357830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1" t="s">
        <v>146</v>
      </c>
      <c r="C10" s="30">
        <v>2016</v>
      </c>
      <c r="D10" s="30">
        <v>75</v>
      </c>
      <c r="E10" s="12">
        <v>6547648</v>
      </c>
      <c r="F10" s="12">
        <f>E10/D10</f>
        <v>87301.973333333328</v>
      </c>
      <c r="G10" s="23" t="s">
        <v>4</v>
      </c>
      <c r="H10" s="2"/>
    </row>
    <row r="11" spans="1:8" x14ac:dyDescent="0.25">
      <c r="A11" s="2"/>
      <c r="B11" s="101" t="s">
        <v>146</v>
      </c>
      <c r="C11" s="30">
        <v>2016</v>
      </c>
      <c r="D11" s="30">
        <v>75</v>
      </c>
      <c r="E11" s="12">
        <v>9478826</v>
      </c>
      <c r="F11" s="12">
        <f t="shared" ref="F11:F28" si="0">E11/D11</f>
        <v>126384.34666666666</v>
      </c>
      <c r="G11" s="23" t="s">
        <v>4</v>
      </c>
      <c r="H11" s="2"/>
    </row>
    <row r="12" spans="1:8" x14ac:dyDescent="0.25">
      <c r="A12" s="2"/>
      <c r="B12" s="101" t="s">
        <v>147</v>
      </c>
      <c r="C12" s="30">
        <v>2016</v>
      </c>
      <c r="D12" s="30">
        <v>75</v>
      </c>
      <c r="E12" s="12">
        <v>3808591</v>
      </c>
      <c r="F12" s="12">
        <f t="shared" si="0"/>
        <v>50781.213333333333</v>
      </c>
      <c r="G12" s="23" t="s">
        <v>4</v>
      </c>
      <c r="H12" s="2"/>
    </row>
    <row r="13" spans="1:8" x14ac:dyDescent="0.25">
      <c r="A13" s="2"/>
      <c r="B13" s="101" t="s">
        <v>148</v>
      </c>
      <c r="C13" s="30">
        <v>2016</v>
      </c>
      <c r="D13" s="30">
        <v>75</v>
      </c>
      <c r="E13" s="12">
        <v>1829315</v>
      </c>
      <c r="F13" s="12">
        <f t="shared" si="0"/>
        <v>24390.866666666665</v>
      </c>
      <c r="G13" s="23" t="s">
        <v>4</v>
      </c>
      <c r="H13" s="2"/>
    </row>
    <row r="14" spans="1:8" x14ac:dyDescent="0.25">
      <c r="A14" s="2"/>
      <c r="B14" s="101" t="s">
        <v>149</v>
      </c>
      <c r="C14" s="30">
        <v>2016</v>
      </c>
      <c r="D14" s="30">
        <v>75</v>
      </c>
      <c r="E14" s="12">
        <v>6436189</v>
      </c>
      <c r="F14" s="12">
        <f t="shared" si="0"/>
        <v>85815.853333333333</v>
      </c>
      <c r="G14" s="23" t="s">
        <v>4</v>
      </c>
      <c r="H14" s="2"/>
    </row>
    <row r="15" spans="1:8" x14ac:dyDescent="0.25">
      <c r="A15" s="2"/>
      <c r="B15" s="101" t="s">
        <v>150</v>
      </c>
      <c r="C15" s="30">
        <v>2016</v>
      </c>
      <c r="D15" s="30">
        <v>75</v>
      </c>
      <c r="E15" s="12">
        <v>3995452</v>
      </c>
      <c r="F15" s="12">
        <f t="shared" si="0"/>
        <v>53272.693333333336</v>
      </c>
      <c r="G15" s="23" t="s">
        <v>4</v>
      </c>
      <c r="H15" s="2"/>
    </row>
    <row r="16" spans="1:8" ht="26.25" x14ac:dyDescent="0.25">
      <c r="A16" s="2"/>
      <c r="B16" s="101" t="s">
        <v>151</v>
      </c>
      <c r="C16" s="30">
        <v>2016</v>
      </c>
      <c r="D16" s="30">
        <v>30</v>
      </c>
      <c r="E16" s="12">
        <v>184598</v>
      </c>
      <c r="F16" s="12">
        <f t="shared" si="0"/>
        <v>6153.2666666666664</v>
      </c>
      <c r="G16" s="23" t="s">
        <v>4</v>
      </c>
      <c r="H16" s="2"/>
    </row>
    <row r="17" spans="1:8" ht="26.25" x14ac:dyDescent="0.25">
      <c r="A17" s="2"/>
      <c r="B17" s="101" t="s">
        <v>152</v>
      </c>
      <c r="C17" s="30">
        <v>2016</v>
      </c>
      <c r="D17" s="30">
        <v>50</v>
      </c>
      <c r="E17" s="12">
        <v>63429</v>
      </c>
      <c r="F17" s="12">
        <f t="shared" si="0"/>
        <v>1268.58</v>
      </c>
      <c r="G17" s="23" t="s">
        <v>4</v>
      </c>
      <c r="H17" s="2"/>
    </row>
    <row r="18" spans="1:8" x14ac:dyDescent="0.25">
      <c r="A18" s="2"/>
      <c r="B18" s="101" t="s">
        <v>153</v>
      </c>
      <c r="C18" s="30">
        <v>2016</v>
      </c>
      <c r="D18" s="30">
        <v>50</v>
      </c>
      <c r="E18" s="12">
        <v>1490671</v>
      </c>
      <c r="F18" s="12">
        <f t="shared" si="0"/>
        <v>29813.42</v>
      </c>
      <c r="G18" s="23" t="s">
        <v>4</v>
      </c>
      <c r="H18" s="2"/>
    </row>
    <row r="19" spans="1:8" x14ac:dyDescent="0.25">
      <c r="A19" s="2"/>
      <c r="B19" s="101" t="s">
        <v>154</v>
      </c>
      <c r="C19" s="30">
        <v>2016</v>
      </c>
      <c r="D19" s="30">
        <v>5</v>
      </c>
      <c r="E19" s="12">
        <v>357390</v>
      </c>
      <c r="F19" s="12">
        <f t="shared" si="0"/>
        <v>71478</v>
      </c>
      <c r="G19" s="23" t="s">
        <v>4</v>
      </c>
      <c r="H19" s="2"/>
    </row>
    <row r="20" spans="1:8" x14ac:dyDescent="0.25">
      <c r="A20" s="2"/>
      <c r="B20" s="101" t="s">
        <v>155</v>
      </c>
      <c r="C20" s="30">
        <v>2016</v>
      </c>
      <c r="D20" s="30">
        <v>5</v>
      </c>
      <c r="E20" s="12">
        <v>51550</v>
      </c>
      <c r="F20" s="12">
        <f t="shared" si="0"/>
        <v>10310</v>
      </c>
      <c r="G20" s="23" t="s">
        <v>4</v>
      </c>
      <c r="H20" s="2"/>
    </row>
    <row r="21" spans="1:8" ht="26.25" x14ac:dyDescent="0.25">
      <c r="A21" s="2"/>
      <c r="B21" s="101" t="s">
        <v>156</v>
      </c>
      <c r="C21" s="30">
        <v>2016</v>
      </c>
      <c r="D21" s="30">
        <v>20</v>
      </c>
      <c r="E21" s="12">
        <v>3607753</v>
      </c>
      <c r="F21" s="12">
        <f t="shared" si="0"/>
        <v>180387.65</v>
      </c>
      <c r="G21" s="23" t="s">
        <v>4</v>
      </c>
      <c r="H21" s="2"/>
    </row>
    <row r="22" spans="1:8" x14ac:dyDescent="0.25">
      <c r="A22" s="2"/>
      <c r="B22" s="101" t="s">
        <v>157</v>
      </c>
      <c r="C22" s="30">
        <v>2016</v>
      </c>
      <c r="D22" s="30">
        <v>10</v>
      </c>
      <c r="E22" s="12">
        <v>484793</v>
      </c>
      <c r="F22" s="12">
        <f t="shared" si="0"/>
        <v>48479.3</v>
      </c>
      <c r="G22" s="23" t="s">
        <v>4</v>
      </c>
      <c r="H22" s="2"/>
    </row>
    <row r="23" spans="1:8" x14ac:dyDescent="0.25">
      <c r="A23" s="2"/>
      <c r="B23" s="101" t="s">
        <v>158</v>
      </c>
      <c r="C23" s="30">
        <v>2016</v>
      </c>
      <c r="D23" s="30">
        <v>75</v>
      </c>
      <c r="E23" s="12">
        <v>155663</v>
      </c>
      <c r="F23" s="12">
        <f t="shared" si="0"/>
        <v>2075.5066666666667</v>
      </c>
      <c r="G23" s="23" t="s">
        <v>4</v>
      </c>
      <c r="H23" s="2"/>
    </row>
    <row r="24" spans="1:8" ht="26.25" x14ac:dyDescent="0.25">
      <c r="A24" s="2"/>
      <c r="B24" s="101" t="s">
        <v>159</v>
      </c>
      <c r="C24" s="30">
        <v>2016</v>
      </c>
      <c r="D24" s="30">
        <v>50</v>
      </c>
      <c r="E24" s="12">
        <v>519994</v>
      </c>
      <c r="F24" s="12">
        <f t="shared" si="0"/>
        <v>10399.879999999999</v>
      </c>
      <c r="G24" s="23" t="s">
        <v>4</v>
      </c>
      <c r="H24" s="2"/>
    </row>
    <row r="25" spans="1:8" ht="26.25" x14ac:dyDescent="0.25">
      <c r="A25" s="2"/>
      <c r="B25" s="101" t="s">
        <v>160</v>
      </c>
      <c r="C25" s="30">
        <v>2016</v>
      </c>
      <c r="D25" s="30">
        <v>40</v>
      </c>
      <c r="E25" s="12">
        <v>450000</v>
      </c>
      <c r="F25" s="12">
        <f t="shared" si="0"/>
        <v>11250</v>
      </c>
      <c r="G25" s="23" t="s">
        <v>4</v>
      </c>
      <c r="H25" s="2"/>
    </row>
    <row r="26" spans="1:8" x14ac:dyDescent="0.25">
      <c r="A26" s="2"/>
      <c r="B26" s="101" t="s">
        <v>161</v>
      </c>
      <c r="C26" s="30">
        <v>2016</v>
      </c>
      <c r="D26" s="30">
        <v>50</v>
      </c>
      <c r="E26" s="12">
        <v>5940829</v>
      </c>
      <c r="F26" s="12">
        <f t="shared" si="0"/>
        <v>118816.58</v>
      </c>
      <c r="G26" s="23" t="s">
        <v>4</v>
      </c>
      <c r="H26" s="2"/>
    </row>
    <row r="27" spans="1:8" ht="26.25" x14ac:dyDescent="0.25">
      <c r="A27" s="2"/>
      <c r="B27" s="101" t="s">
        <v>162</v>
      </c>
      <c r="C27" s="30">
        <v>2016</v>
      </c>
      <c r="D27" s="30">
        <v>50</v>
      </c>
      <c r="E27" s="12">
        <v>4838547</v>
      </c>
      <c r="F27" s="12">
        <f t="shared" si="0"/>
        <v>96770.94</v>
      </c>
      <c r="G27" s="23" t="s">
        <v>4</v>
      </c>
      <c r="H27" s="2"/>
    </row>
    <row r="28" spans="1:8" ht="26.25" x14ac:dyDescent="0.25">
      <c r="A28" s="2"/>
      <c r="B28" s="101" t="s">
        <v>163</v>
      </c>
      <c r="C28" s="30">
        <v>2016</v>
      </c>
      <c r="D28" s="30">
        <v>50</v>
      </c>
      <c r="E28" s="12">
        <v>255118</v>
      </c>
      <c r="F28" s="12">
        <f t="shared" si="0"/>
        <v>5102.3599999999997</v>
      </c>
      <c r="G28" s="23" t="s">
        <v>4</v>
      </c>
      <c r="H28" s="2"/>
    </row>
    <row r="29" spans="1:8" x14ac:dyDescent="0.25">
      <c r="A29" s="2"/>
      <c r="B29" s="83" t="s">
        <v>76</v>
      </c>
      <c r="C29" s="84"/>
      <c r="D29" s="84"/>
      <c r="E29" s="85"/>
      <c r="F29" s="21">
        <f>SUM(F10:F28)</f>
        <v>1020252.43</v>
      </c>
      <c r="G29" s="22" t="s">
        <v>4</v>
      </c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</sheetData>
  <sheetProtection password="DFE9" sheet="1" objects="1" scenarios="1"/>
  <mergeCells count="4">
    <mergeCell ref="B29:E2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2018-08-13T11:30:03Z</dcterms:modified>
</cp:coreProperties>
</file>