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J3" i="24"/>
  <c r="C6" i="16"/>
  <c r="M3" i="24" l="1"/>
  <c r="B9" i="12" s="1"/>
  <c r="B10" i="12" s="1"/>
  <c r="D3" i="16"/>
  <c r="H3" i="17"/>
  <c r="B4" i="12" s="1"/>
  <c r="I2" i="15"/>
  <c r="K2" i="15" s="1"/>
  <c r="B2" i="12" s="1"/>
  <c r="E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<sst xmlns="http://schemas.openxmlformats.org/spreadsheetml/2006/main" count="113" uniqueCount="77">
  <si>
    <t>Historiske investeringer</t>
  </si>
  <si>
    <t>Gennemførte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</si>
  <si>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</si>
  <si>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</si>
  <si>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</si>
  <si>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</si>
  <si>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</si>
  <si>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</si>
  <si>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</si>
  <si>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</si>
  <si>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</si>
  <si>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</si>
  <si>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</si>
  <si>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</si>
  <si>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</si>
  <si>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</si>
  <si>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</si>
  <si>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</si>
  <si>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</si>
  <si>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</si>
  <si>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</si>
  <si>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</si>
  <si>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</si>
  <si>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</si>
  <si>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</si>
  <si>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</si>
  <si>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</si>
  <si>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</si>
  <si>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</si>
  <si>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</si>
  <si>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</si>
  <si>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</si>
  <si>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</si>
  <si>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</si>
  <si>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</si>
  <si>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</si>
  <si>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</si>
  <si>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</si>
  <si>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</si>
  <si>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</si>
  <si>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</si>
  <si>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</si>
  <si>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</si>
  <si>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</si>
  <si>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</si>
  <si>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</si>
  <si>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</si>
  <si>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</si>
  <si>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</si>
  <si>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</si>
  <si>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</si>
  <si>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</si>
  <si>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</si>
  <si>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</si>
  <si>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</si>
  <si>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</si>
  <si>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</si>
  <si>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</si>
  <si>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</si>
  <si>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</si>
  <si>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</si>
  <si>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</si>
  <si>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</si>
  <si>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</si>
  <si>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</si>
  <si>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</si>
  <si>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</si>
  <si>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</si>
  <si>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</si>
  <si>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</si>
  <si>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</si>
  <si>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</si>
  <si>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 xml:space="preserve">LAR-løsning 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</si>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</sst>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5</v>
      </c>
      <c r="B1" s="18" t="s">
        <v>6</v>
      </c>
    </row>
    <row r="2" spans="1:3" x14ac:dyDescent="0.25">
      <c r="A2" s="4" t="s">
        <v>4</v>
      </c>
      <c r="B2" s="35">
        <f>'Faktiske driftsomkostninger'!K2</f>
        <v>44478687.136103995</v>
      </c>
      <c r="C2" t="s">
        <v>10</v>
      </c>
    </row>
    <row r="3" spans="1:3" s="2" customFormat="1" x14ac:dyDescent="0.25">
      <c r="A3" s="5" t="s">
        <v>7</v>
      </c>
      <c r="B3" s="36">
        <f>'Miljø- og servicemål'!E3</f>
        <v>0</v>
      </c>
      <c r="C3" t="s">
        <v>10</v>
      </c>
    </row>
    <row r="4" spans="1:3" s="2" customFormat="1" x14ac:dyDescent="0.25">
      <c r="A4" s="5" t="s">
        <v>8</v>
      </c>
      <c r="B4" s="36">
        <f>'Revisorerklæringer mm.'!H3</f>
        <v>201316.32893333331</v>
      </c>
      <c r="C4" t="s">
        <v>10</v>
      </c>
    </row>
    <row r="5" spans="1:3" s="26" customFormat="1" x14ac:dyDescent="0.25">
      <c r="A5" s="3" t="s">
        <v>11</v>
      </c>
      <c r="B5" s="48">
        <f>SUM(B2:B4)</f>
        <v>44680003.465037331</v>
      </c>
      <c r="C5" s="62" t="s">
        <v>10</v>
      </c>
    </row>
    <row r="6" spans="1:3" x14ac:dyDescent="0.25">
      <c r="A6" s="47" t="s">
        <v>0</v>
      </c>
      <c r="B6" s="38">
        <f>Investeringer!E3</f>
        <v>89789309.939324021</v>
      </c>
      <c r="C6" s="23" t="s">
        <v>10</v>
      </c>
    </row>
    <row r="7" spans="1:3" x14ac:dyDescent="0.25">
      <c r="A7" s="4" t="s">
        <v>1</v>
      </c>
      <c r="B7" s="35">
        <f>Investeringer!F3</f>
        <v>11495990.814884342</v>
      </c>
      <c r="C7" t="s">
        <v>10</v>
      </c>
    </row>
    <row r="8" spans="1:3" x14ac:dyDescent="0.25">
      <c r="A8" s="4" t="s">
        <v>76</v>
      </c>
      <c r="B8" s="35">
        <f>Investeringer!G3</f>
        <v>3038613.4618885061</v>
      </c>
      <c r="C8" t="s">
        <v>10</v>
      </c>
    </row>
    <row r="9" spans="1:3" s="22" customFormat="1" x14ac:dyDescent="0.25">
      <c r="A9" s="4" t="s">
        <v>3</v>
      </c>
      <c r="B9" s="35">
        <f>'Finansielle omkostninger'!M3</f>
        <v>76434.490000000005</v>
      </c>
      <c r="C9" t="s">
        <v>10</v>
      </c>
    </row>
    <row r="10" spans="1:3" s="22" customFormat="1" x14ac:dyDescent="0.25">
      <c r="A10" s="3" t="s">
        <v>46</v>
      </c>
      <c r="B10" s="48">
        <f>SUM(B6:B9)</f>
        <v>104400348.70609686</v>
      </c>
      <c r="C10" s="62" t="s">
        <v>10</v>
      </c>
    </row>
    <row r="11" spans="1:3" s="22" customFormat="1" x14ac:dyDescent="0.25">
      <c r="A11" s="4" t="s">
        <v>9</v>
      </c>
      <c r="B11" s="35">
        <f>'Ikke-påvirkelige omkostninger'!M2</f>
        <v>5026781</v>
      </c>
      <c r="C11" t="s">
        <v>10</v>
      </c>
    </row>
    <row r="12" spans="1:3" s="22" customFormat="1" x14ac:dyDescent="0.25">
      <c r="A12" s="4" t="s">
        <v>48</v>
      </c>
      <c r="B12" s="35">
        <f>SUM(Medfinansiering!B:B)</f>
        <v>100231</v>
      </c>
      <c r="C12" s="22" t="s">
        <v>10</v>
      </c>
    </row>
    <row r="13" spans="1:3" s="22" customFormat="1" x14ac:dyDescent="0.25">
      <c r="A13" s="3" t="s">
        <v>69</v>
      </c>
      <c r="B13" s="48">
        <f>SUM(B11:B12)</f>
        <v>5127012</v>
      </c>
      <c r="C13" s="62" t="s">
        <v>10</v>
      </c>
    </row>
    <row r="14" spans="1:3" x14ac:dyDescent="0.25">
      <c r="A14" s="1"/>
      <c r="B14" s="35"/>
    </row>
    <row r="15" spans="1:3" ht="15.75" thickBot="1" x14ac:dyDescent="0.3">
      <c r="A15" s="27" t="s">
        <v>59</v>
      </c>
      <c r="B15" s="37">
        <f>SUM(B5,B10,B13)</f>
        <v>154207364.17113417</v>
      </c>
      <c r="C15" s="27" t="s">
        <v>2</v>
      </c>
    </row>
    <row r="16" spans="1:3" ht="15.75" thickTop="1" x14ac:dyDescent="0.25"/>
    <row r="17" spans="1:3" ht="15.75" thickBot="1" x14ac:dyDescent="0.3">
      <c r="A17" s="27" t="s">
        <v>51</v>
      </c>
      <c r="B17" s="37">
        <f>B15*Pristalsregulering!C8*Pristalsregulering!C9</f>
        <v>155572367.66486236</v>
      </c>
      <c r="C17" s="27" t="s">
        <v>2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12</v>
      </c>
      <c r="B1" s="59" t="s">
        <v>13</v>
      </c>
      <c r="C1" s="59" t="s">
        <v>60</v>
      </c>
      <c r="D1" s="59" t="s">
        <v>61</v>
      </c>
      <c r="E1" s="59" t="s">
        <v>52</v>
      </c>
      <c r="F1" s="52" t="s">
        <v>62</v>
      </c>
      <c r="G1" s="52" t="s">
        <v>70</v>
      </c>
      <c r="H1" s="52" t="s">
        <v>63</v>
      </c>
      <c r="I1" s="52" t="s">
        <v>47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49">
        <v>45311220</v>
      </c>
      <c r="C2" s="49">
        <v>0</v>
      </c>
      <c r="D2" s="49">
        <f>B2+C2</f>
        <v>45311220</v>
      </c>
      <c r="E2" s="50">
        <f>D2</f>
        <v>45311220</v>
      </c>
      <c r="F2" s="49">
        <v>49175485.700497292</v>
      </c>
      <c r="G2" s="49">
        <v>0</v>
      </c>
      <c r="H2" s="49">
        <f>F2-G2</f>
        <v>49175485.700497292</v>
      </c>
      <c r="I2" s="49">
        <f>AVERAGEIF(E2:E4,"&lt;&gt;0")</f>
        <v>44478687.136103995</v>
      </c>
      <c r="J2" s="49">
        <v>41835197.883127339</v>
      </c>
      <c r="K2" s="39">
        <f>IF(H2&gt;I2,IF(I2&gt;J2,I2,J2),H2)</f>
        <v>44478687.136103995</v>
      </c>
    </row>
    <row r="3" spans="1:11" s="23" customFormat="1" x14ac:dyDescent="0.25">
      <c r="A3" s="28">
        <v>2014</v>
      </c>
      <c r="B3" s="49">
        <v>41562398</v>
      </c>
      <c r="C3" s="49"/>
      <c r="D3" s="49">
        <f t="shared" ref="D3:D4" si="0">B3+C3</f>
        <v>41562398</v>
      </c>
      <c r="E3" s="50">
        <f>D3*Pristalsregulering!C7</f>
        <v>41595647.918399997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45804926</v>
      </c>
      <c r="C4" s="49"/>
      <c r="D4" s="49">
        <f t="shared" si="0"/>
        <v>45804926</v>
      </c>
      <c r="E4" s="50">
        <f>D4*Pristalsregulering!$C$6*Pristalsregulering!$C$7</f>
        <v>46529193.489911988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8" customWidth="1"/>
    <col min="5" max="5" width="30.7109375" style="55" customWidth="1"/>
    <col min="6" max="6" width="9.140625" hidden="1" customWidth="1"/>
    <col min="7" max="94" width="0" hidden="1" customWidth="1"/>
    <col min="95" max="95" width="9.140625" hidden="1" customWidth="1"/>
    <col min="96" max="117" width="0" hidden="1" customWidth="1"/>
    <col min="118" max="118" width="9.140625" hidden="1" customWidth="1"/>
    <col min="119" max="206" width="0" hidden="1" customWidth="1"/>
    <col min="207" max="207" width="9.140625" hidden="1" customWidth="1"/>
    <col min="208" max="229" width="0" hidden="1" customWidth="1"/>
    <col min="230" max="230" width="9.140625" hidden="1" customWidth="1"/>
    <col min="231" max="318" width="0" hidden="1" customWidth="1"/>
    <col min="319" max="319" width="9.140625" hidden="1" customWidth="1"/>
    <col min="320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73</v>
      </c>
      <c r="C1" s="65" t="s">
        <v>74</v>
      </c>
      <c r="D1" s="75" t="s">
        <v>75</v>
      </c>
      <c r="E1" s="65"/>
    </row>
    <row r="2" spans="1:5" ht="15.75" thickTop="1" x14ac:dyDescent="0.25">
      <c r="A2" s="17" t="s">
        <v>12</v>
      </c>
      <c r="B2" s="34" t="s">
        <v>21</v>
      </c>
      <c r="C2" s="56" t="s">
        <v>21</v>
      </c>
      <c r="D2" s="76" t="s">
        <v>21</v>
      </c>
      <c r="E2" s="53" t="s">
        <v>22</v>
      </c>
    </row>
    <row r="3" spans="1:5" s="22" customFormat="1" x14ac:dyDescent="0.25">
      <c r="A3" s="28">
        <v>2016</v>
      </c>
      <c r="B3" s="74">
        <v>0</v>
      </c>
      <c r="C3" s="45">
        <f>B3/Pristalsregulering!$C$8</f>
        <v>0</v>
      </c>
      <c r="D3" s="77">
        <f>IF(C4=0,0,AVERAGEIF(C4:C6,"&lt;&gt;0"))+C3</f>
        <v>0</v>
      </c>
      <c r="E3" s="57">
        <f>SUM(D3:D3)</f>
        <v>0</v>
      </c>
    </row>
    <row r="4" spans="1:5" x14ac:dyDescent="0.25">
      <c r="A4" s="28">
        <v>2015</v>
      </c>
      <c r="B4" s="35"/>
      <c r="C4" s="45">
        <f>B4</f>
        <v>0</v>
      </c>
      <c r="D4" s="77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77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7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9" t="s">
        <v>23</v>
      </c>
      <c r="C1" s="80"/>
      <c r="D1" s="80"/>
      <c r="E1" s="81" t="s">
        <v>53</v>
      </c>
      <c r="F1" s="82"/>
      <c r="G1" s="83"/>
      <c r="H1" s="29"/>
    </row>
    <row r="2" spans="1:8" s="21" customFormat="1" ht="15.75" thickTop="1" x14ac:dyDescent="0.25">
      <c r="A2" s="19" t="s">
        <v>12</v>
      </c>
      <c r="B2" s="16" t="s">
        <v>24</v>
      </c>
      <c r="C2" s="20" t="s">
        <v>25</v>
      </c>
      <c r="D2" s="20" t="s">
        <v>26</v>
      </c>
      <c r="E2" s="16" t="s">
        <v>24</v>
      </c>
      <c r="F2" s="20" t="s">
        <v>25</v>
      </c>
      <c r="G2" s="46" t="s">
        <v>26</v>
      </c>
      <c r="H2" s="6" t="s">
        <v>28</v>
      </c>
    </row>
    <row r="3" spans="1:8" x14ac:dyDescent="0.25">
      <c r="A3" s="31">
        <v>2015</v>
      </c>
      <c r="B3" s="41">
        <v>21000</v>
      </c>
      <c r="C3" s="42">
        <v>207040</v>
      </c>
      <c r="D3" s="42">
        <v>0</v>
      </c>
      <c r="E3" s="41">
        <f>B3</f>
        <v>21000</v>
      </c>
      <c r="F3" s="42">
        <f t="shared" ref="F3:G3" si="0">C3</f>
        <v>207040</v>
      </c>
      <c r="G3" s="43">
        <f t="shared" si="0"/>
        <v>0</v>
      </c>
      <c r="H3" s="44">
        <f>IF(E3=0,0,AVERAGEIF(E3:E5,"&lt;&gt;0"))+IF(F3=0,0,AVERAGEIF(F3:F5,"&lt;&gt;0"))+IF(G3=0,0,AVERAGEIF(G3:G5,"&lt;&gt;0"))</f>
        <v>201316.32893333331</v>
      </c>
    </row>
    <row r="4" spans="1:8" x14ac:dyDescent="0.25">
      <c r="A4" s="31">
        <v>2014</v>
      </c>
      <c r="B4" s="41">
        <v>22000</v>
      </c>
      <c r="C4" s="42">
        <v>156800</v>
      </c>
      <c r="D4" s="42">
        <v>0</v>
      </c>
      <c r="E4" s="41">
        <f>B4*Pristalsregulering!$C$7</f>
        <v>22017.599999999999</v>
      </c>
      <c r="F4" s="42">
        <f>C4*Pristalsregulering!$C$7</f>
        <v>156925.43999999997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43500</v>
      </c>
      <c r="C5" s="42">
        <v>150400</v>
      </c>
      <c r="D5" s="42">
        <v>0</v>
      </c>
      <c r="E5" s="41">
        <f>B5*Pristalsregulering!$C$7*Pristalsregulering!$C$6</f>
        <v>44187.821999999993</v>
      </c>
      <c r="F5" s="42">
        <f>C5*Pristalsregulering!$C$7*Pristalsregulering!$C$6</f>
        <v>152778.12479999996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2" t="s">
        <v>67</v>
      </c>
      <c r="C1" s="82"/>
      <c r="D1" s="83"/>
      <c r="E1" s="84" t="s">
        <v>68</v>
      </c>
      <c r="F1" s="84"/>
      <c r="G1" s="84"/>
    </row>
    <row r="2" spans="1:7" s="22" customFormat="1" ht="15.75" thickTop="1" x14ac:dyDescent="0.25">
      <c r="A2" s="71" t="s">
        <v>12</v>
      </c>
      <c r="B2" s="23" t="s">
        <v>66</v>
      </c>
      <c r="C2" s="23" t="s">
        <v>1</v>
      </c>
      <c r="D2" s="28" t="s">
        <v>76</v>
      </c>
      <c r="E2" s="22" t="s">
        <v>0</v>
      </c>
      <c r="F2" s="22" t="s">
        <v>1</v>
      </c>
      <c r="G2" s="22" t="s">
        <v>76</v>
      </c>
    </row>
    <row r="3" spans="1:7" s="22" customFormat="1" x14ac:dyDescent="0.25">
      <c r="A3" s="72">
        <v>2015</v>
      </c>
      <c r="B3" s="38">
        <v>82473955.445936292</v>
      </c>
      <c r="C3" s="38">
        <v>11126655.916166669</v>
      </c>
      <c r="D3" s="40">
        <v>3027066.7307333299</v>
      </c>
      <c r="E3" s="35">
        <f>B3*Pristalsregulering!C2*Pristalsregulering!C3*Pristalsregulering!C4*Pristalsregulering!C5*Pristalsregulering!C6*Pristalsregulering!C7</f>
        <v>89789309.939324021</v>
      </c>
      <c r="F3" s="35">
        <v>11495990.814884342</v>
      </c>
      <c r="G3" s="35">
        <f xml:space="preserve"> D3/Pristalsregulering!$C$8</f>
        <v>3038613.4618885061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9" t="s">
        <v>39</v>
      </c>
      <c r="C1" s="80"/>
      <c r="D1" s="80"/>
      <c r="E1" s="80"/>
      <c r="F1" s="81" t="s">
        <v>54</v>
      </c>
      <c r="G1" s="82"/>
      <c r="H1" s="82"/>
      <c r="I1" s="82"/>
      <c r="J1" s="85" t="s">
        <v>28</v>
      </c>
      <c r="K1" s="84"/>
      <c r="L1" s="86"/>
      <c r="M1" s="13"/>
    </row>
    <row r="2" spans="1:14" s="26" customFormat="1" ht="15.75" thickTop="1" x14ac:dyDescent="0.25">
      <c r="A2" s="19" t="s">
        <v>12</v>
      </c>
      <c r="B2" s="8" t="s">
        <v>40</v>
      </c>
      <c r="C2" s="7" t="s">
        <v>41</v>
      </c>
      <c r="D2" s="7" t="s">
        <v>42</v>
      </c>
      <c r="E2" s="51" t="s">
        <v>43</v>
      </c>
      <c r="F2" s="7" t="s">
        <v>40</v>
      </c>
      <c r="G2" s="7" t="s">
        <v>41</v>
      </c>
      <c r="H2" s="7" t="s">
        <v>42</v>
      </c>
      <c r="I2" s="51" t="s">
        <v>43</v>
      </c>
      <c r="J2" s="20" t="s">
        <v>44</v>
      </c>
      <c r="K2" s="20" t="s">
        <v>41</v>
      </c>
      <c r="L2" s="15" t="s">
        <v>71</v>
      </c>
      <c r="M2" s="6" t="s">
        <v>27</v>
      </c>
      <c r="N2" s="32"/>
    </row>
    <row r="3" spans="1:14" x14ac:dyDescent="0.25">
      <c r="A3" s="28">
        <v>2015</v>
      </c>
      <c r="B3" s="45">
        <v>0</v>
      </c>
      <c r="C3" s="38">
        <v>76434.490000000005</v>
      </c>
      <c r="D3" s="38">
        <v>0</v>
      </c>
      <c r="E3" s="40">
        <v>0</v>
      </c>
      <c r="F3" s="38">
        <f>B3</f>
        <v>0</v>
      </c>
      <c r="G3" s="38">
        <f>C3</f>
        <v>76434.490000000005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76434.490000000005</v>
      </c>
      <c r="L3" s="43">
        <f>AVERAGE(H3:H5)+AVERAGE(I3:I5)</f>
        <v>0</v>
      </c>
      <c r="M3" s="44">
        <f>SUM(J3:L3)</f>
        <v>76434.490000000005</v>
      </c>
      <c r="N3" s="23"/>
    </row>
    <row r="4" spans="1:14" x14ac:dyDescent="0.25">
      <c r="A4" s="28">
        <v>2014</v>
      </c>
      <c r="B4" s="45">
        <v>0</v>
      </c>
      <c r="C4" s="38">
        <v>82404.179999999993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82470.103343999988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315949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320944.78558799991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12</v>
      </c>
      <c r="B1" s="68" t="s">
        <v>29</v>
      </c>
      <c r="C1" s="68" t="s">
        <v>30</v>
      </c>
      <c r="D1" s="68" t="s">
        <v>31</v>
      </c>
      <c r="E1" s="68" t="s">
        <v>32</v>
      </c>
      <c r="F1" s="68" t="s">
        <v>33</v>
      </c>
      <c r="G1" s="68" t="s">
        <v>34</v>
      </c>
      <c r="H1" s="68" t="s">
        <v>35</v>
      </c>
      <c r="I1" s="68" t="s">
        <v>36</v>
      </c>
      <c r="J1" s="68" t="s">
        <v>37</v>
      </c>
      <c r="K1" s="68" t="s">
        <v>55</v>
      </c>
      <c r="L1" s="69" t="s">
        <v>38</v>
      </c>
      <c r="M1" s="14" t="s">
        <v>27</v>
      </c>
    </row>
    <row r="2" spans="1:13" ht="15.75" thickTop="1" x14ac:dyDescent="0.25">
      <c r="A2" s="31">
        <v>2015</v>
      </c>
      <c r="B2" s="42">
        <v>32523</v>
      </c>
      <c r="C2" s="42">
        <v>13116</v>
      </c>
      <c r="D2" s="42">
        <v>962983</v>
      </c>
      <c r="E2" s="42">
        <v>846422</v>
      </c>
      <c r="F2" s="42">
        <v>0</v>
      </c>
      <c r="G2" s="42">
        <v>0</v>
      </c>
      <c r="H2" s="42">
        <v>3171737</v>
      </c>
      <c r="I2" s="42">
        <v>0</v>
      </c>
      <c r="J2" s="42"/>
      <c r="K2" s="42"/>
      <c r="L2" s="43">
        <v>0</v>
      </c>
      <c r="M2" s="44">
        <f>SUM(B2:L2)</f>
        <v>5026781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45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45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56</v>
      </c>
      <c r="B1" s="64" t="s">
        <v>57</v>
      </c>
    </row>
    <row r="2" spans="1:2" x14ac:dyDescent="0.25">
      <c r="A2" s="23" t="s">
        <v>72</v>
      </c>
      <c r="B2" s="35">
        <v>100231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3"/>
    </row>
    <row r="2" spans="1:4" ht="15.75" thickTop="1" x14ac:dyDescent="0.25">
      <c r="A2" s="66" t="s">
        <v>58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16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17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18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19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20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2017-10-13T15:47:30Z</dcterms:modified>
</cp:coreProperties>
</file>