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Medfinansiering" sheetId="29" r:id="rId8"/>
    <sheet name="Pristalsregulering" sheetId="27" r:id="rId9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B12" i="12" l="1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3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C5" i="16"/>
  <c r="D3" i="16" s="1"/>
  <c r="C6" i="16"/>
  <c r="M3" i="24" l="1"/>
  <c r="B9" i="12" s="1"/>
  <c r="B10" i="12" s="1"/>
  <c r="H3" i="17"/>
  <c r="B4" i="12" s="1"/>
  <c r="I2" i="15"/>
  <c r="K2" i="15" s="1"/>
  <c r="B2" i="12" s="1"/>
  <c r="E3" i="16" l="1"/>
  <c r="B3" i="12" s="1"/>
  <c r="B5" i="12" s="1"/>
  <c r="B15" i="12" l="1"/>
  <c r="B17" i="12" s="1"/>
</calcChain>
</file>

<file path=xl/sharedStrings.xml><?xml version="1.0" encoding="utf-8"?>
<sst xmlns="http://schemas.openxmlformats.org/spreadsheetml/2006/main" count="113" uniqueCount="78">
  <si>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</si>
  <si>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</si>
  <si>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</si>
  <si>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</si>
  <si>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</si>
  <si>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</si>
  <si>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</si>
  <si>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</si>
  <si>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</si>
  <si>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</si>
  <si>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</si>
  <si>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</si>
  <si>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</si>
  <si>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</si>
  <si>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</si>
  <si>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</si>
  <si>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</si>
  <si>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</si>
  <si>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</si>
  <si>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</si>
  <si>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</si>
  <si>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</si>
  <si>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Særlige aktivtiteter til gavn for miljø og sundhed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</si>
  <si>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</si>
  <si>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</si>
  <si>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</si>
  <si>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</si>
  <si>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</si>
  <si>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</si>
  <si>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</si>
  <si>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</si>
  <si>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</si>
  <si>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</si>
  <si>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</si>
  <si>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</si>
  <si>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</si>
  <si>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</si>
  <si>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</si>
  <si>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</si>
  <si>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</si>
  <si>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</si>
  <si>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</si>
  <si>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</si>
  <si>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</si>
  <si>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</si>
  <si>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</si>
  <si>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</si>
  <si>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</si>
  <si>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</si>
  <si>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Medfinansiering af klimaprojekter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</si>
  <si>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</si>
  <si>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</si>
  <si>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</si>
  <si>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</si>
  <si>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</si>
  <si>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</si>
  <si>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</si>
  <si>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Projektnavn</t>
  </si>
  <si>
    <t>Tillæg i 2015-priser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</si>
  <si>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</si>
  <si>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</si>
  <si>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</si>
  <si>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</si>
  <si>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</si>
  <si>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</si>
  <si>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</si>
  <si>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</si>
  <si>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</si>
  <si>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</si>
  <si>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</si>
  <si>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</si>
  <si>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</si>
  <si>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</si>
  <si>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Kilen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</si>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</sst>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4" fillId="0" borderId="0" xfId="0" applyFont="1" applyFill="1" applyAlignment="1">
      <alignment horizontal="left"/>
    </xf>
    <xf numFmtId="164" fontId="4" fillId="0" borderId="0" xfId="27368" applyNumberFormat="1" applyFont="1" applyFill="1" applyAlignment="1">
      <alignment horizontal="left"/>
    </xf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10014363.609218951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1513735.41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75135.179733333323</v>
      </c>
      <c r="C4" t="s">
        <v>11</v>
      </c>
    </row>
    <row r="5" spans="1:3" s="26" customFormat="1" x14ac:dyDescent="0.25">
      <c r="A5" s="3" t="s">
        <v>12</v>
      </c>
      <c r="B5" s="48">
        <f>SUM(B2:B4)</f>
        <v>11603234.198952286</v>
      </c>
      <c r="C5" s="62" t="s">
        <v>11</v>
      </c>
    </row>
    <row r="6" spans="1:3" x14ac:dyDescent="0.25">
      <c r="A6" s="47" t="s">
        <v>0</v>
      </c>
      <c r="B6" s="38">
        <f>Investeringer!E3</f>
        <v>17193065.451097962</v>
      </c>
      <c r="C6" s="23" t="s">
        <v>11</v>
      </c>
    </row>
    <row r="7" spans="1:3" x14ac:dyDescent="0.25">
      <c r="A7" s="4" t="s">
        <v>1</v>
      </c>
      <c r="B7" s="35">
        <f>Investeringer!F3</f>
        <v>2372444.2674877024</v>
      </c>
      <c r="C7" t="s">
        <v>11</v>
      </c>
    </row>
    <row r="8" spans="1:3" x14ac:dyDescent="0.25">
      <c r="A8" s="4" t="s">
        <v>2</v>
      </c>
      <c r="B8" s="35">
        <f>Investeringer!G3</f>
        <v>539994.29896941676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900780</v>
      </c>
      <c r="C9" t="s">
        <v>11</v>
      </c>
    </row>
    <row r="10" spans="1:3" s="22" customFormat="1" x14ac:dyDescent="0.25">
      <c r="A10" s="3" t="s">
        <v>47</v>
      </c>
      <c r="B10" s="48">
        <f>SUM(B6:B9)</f>
        <v>21006284.01755508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906071</v>
      </c>
      <c r="C11" t="s">
        <v>11</v>
      </c>
    </row>
    <row r="12" spans="1:3" s="22" customFormat="1" x14ac:dyDescent="0.25">
      <c r="A12" s="4" t="s">
        <v>49</v>
      </c>
      <c r="B12" s="35">
        <f>SUM(Medfinansiering!B:B)</f>
        <v>0</v>
      </c>
      <c r="C12" s="22" t="s">
        <v>11</v>
      </c>
    </row>
    <row r="13" spans="1:3" s="22" customFormat="1" x14ac:dyDescent="0.25">
      <c r="A13" s="3" t="s">
        <v>70</v>
      </c>
      <c r="B13" s="48">
        <f>SUM(B11:B12)</f>
        <v>906071</v>
      </c>
      <c r="C13" s="62" t="s">
        <v>11</v>
      </c>
    </row>
    <row r="14" spans="1:3" x14ac:dyDescent="0.25">
      <c r="A14" s="1"/>
      <c r="B14" s="35"/>
    </row>
    <row r="15" spans="1:3" ht="15.75" thickBot="1" x14ac:dyDescent="0.3">
      <c r="A15" s="27" t="s">
        <v>60</v>
      </c>
      <c r="B15" s="37">
        <f>SUM(B5,B10,B13)</f>
        <v>33515589.216507368</v>
      </c>
      <c r="C15" s="27" t="s">
        <v>3</v>
      </c>
    </row>
    <row r="16" spans="1:3" ht="15.75" thickTop="1" x14ac:dyDescent="0.25"/>
    <row r="17" spans="1:3" ht="15.75" thickBot="1" x14ac:dyDescent="0.3">
      <c r="A17" s="27" t="s">
        <v>52</v>
      </c>
      <c r="B17" s="37">
        <f>B15*Pristalsregulering!C8*Pristalsregulering!C9</f>
        <v>33812260.498198695</v>
      </c>
      <c r="C17" s="27" t="s">
        <v>3</v>
      </c>
    </row>
    <row r="18" spans="1:3" ht="15.75" hidden="1" thickTop="1" x14ac:dyDescent="0.25">
      <c r="B18" s="61"/>
    </row>
    <row r="19" spans="1:3" hidden="1" x14ac:dyDescent="0.25"/>
    <row r="20" spans="1:3" hidden="1" x14ac:dyDescent="0.25"/>
    <row r="21" spans="1:3" hidden="1" x14ac:dyDescent="0.25"/>
    <row r="22" spans="1:3" hidden="1" x14ac:dyDescent="0.25"/>
    <row r="23" spans="1:3" hidden="1" x14ac:dyDescent="0.25"/>
    <row r="24" spans="1:3" hidden="1" x14ac:dyDescent="0.25"/>
    <row r="25" spans="1:3" hidden="1" x14ac:dyDescent="0.25"/>
    <row r="26" spans="1:3" hidden="1" x14ac:dyDescent="0.25"/>
    <row r="27" spans="1:3" hidden="1" x14ac:dyDescent="0.25"/>
    <row r="28" spans="1:3" hidden="1" x14ac:dyDescent="0.25"/>
    <row r="29" spans="1:3" hidden="1" x14ac:dyDescent="0.25"/>
    <row r="30" spans="1:3" hidden="1" x14ac:dyDescent="0.25"/>
    <row r="31" spans="1:3" hidden="1" x14ac:dyDescent="0.25"/>
    <row r="32" spans="1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61</v>
      </c>
      <c r="D1" s="59" t="s">
        <v>62</v>
      </c>
      <c r="E1" s="59" t="s">
        <v>53</v>
      </c>
      <c r="F1" s="52" t="s">
        <v>63</v>
      </c>
      <c r="G1" s="52" t="s">
        <v>71</v>
      </c>
      <c r="H1" s="52" t="s">
        <v>64</v>
      </c>
      <c r="I1" s="52" t="s">
        <v>48</v>
      </c>
      <c r="J1" s="11" t="s">
        <v>65</v>
      </c>
      <c r="K1" s="11" t="s">
        <v>66</v>
      </c>
    </row>
    <row r="2" spans="1:11" s="23" customFormat="1" ht="15.75" thickTop="1" x14ac:dyDescent="0.25">
      <c r="A2" s="28">
        <v>2015</v>
      </c>
      <c r="B2" s="49">
        <v>9501343</v>
      </c>
      <c r="C2" s="49">
        <v>0</v>
      </c>
      <c r="D2" s="49">
        <f>B2+C2</f>
        <v>9501343</v>
      </c>
      <c r="E2" s="50">
        <f>D2</f>
        <v>9501343</v>
      </c>
      <c r="F2" s="49">
        <v>11296918.839886673</v>
      </c>
      <c r="G2" s="49">
        <v>0</v>
      </c>
      <c r="H2" s="49">
        <f>F2-G2</f>
        <v>11296918.839886673</v>
      </c>
      <c r="I2" s="49">
        <f>AVERAGEIF(E2:E4,"&lt;&gt;0")</f>
        <v>8395992.6588533334</v>
      </c>
      <c r="J2" s="49">
        <v>10014363.609218951</v>
      </c>
      <c r="K2" s="39">
        <f>IF(H2&gt;I2,IF(I2&gt;J2,I2,J2),H2)</f>
        <v>10014363.609218951</v>
      </c>
    </row>
    <row r="3" spans="1:11" s="23" customFormat="1" x14ac:dyDescent="0.25">
      <c r="A3" s="28">
        <v>2014</v>
      </c>
      <c r="B3" s="49">
        <v>8107291</v>
      </c>
      <c r="C3" s="49"/>
      <c r="D3" s="49">
        <f t="shared" ref="D3:D4" si="0">B3+C3</f>
        <v>8107291</v>
      </c>
      <c r="E3" s="50">
        <f>D3*Pristalsregulering!C7</f>
        <v>8113776.832799999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7454980</v>
      </c>
      <c r="C4" s="49"/>
      <c r="D4" s="49">
        <f t="shared" si="0"/>
        <v>7454980</v>
      </c>
      <c r="E4" s="50">
        <f>D4*Pristalsregulering!$C$6*Pristalsregulering!$C$7</f>
        <v>7572858.1437599985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8" customWidth="1"/>
    <col min="5" max="5" width="30.7109375" style="55" customWidth="1"/>
    <col min="6" max="6" width="9.140625" hidden="1" customWidth="1"/>
    <col min="7" max="57" width="0" hidden="1" customWidth="1"/>
    <col min="58" max="58" width="9.140625" hidden="1" customWidth="1"/>
    <col min="59" max="117" width="0" hidden="1" customWidth="1"/>
    <col min="118" max="118" width="9.140625" hidden="1" customWidth="1"/>
    <col min="119" max="169" width="0" hidden="1" customWidth="1"/>
    <col min="170" max="170" width="9.140625" hidden="1" customWidth="1"/>
    <col min="171" max="229" width="0" hidden="1" customWidth="1"/>
    <col min="230" max="230" width="9.140625" hidden="1" customWidth="1"/>
    <col min="231" max="281" width="0" hidden="1" customWidth="1"/>
    <col min="282" max="282" width="9.140625" hidden="1" customWidth="1"/>
    <col min="283" max="289" width="0" hidden="1" customWidth="1"/>
    <col min="290" max="290" width="9.140625" hidden="1" customWidth="1"/>
    <col min="291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74</v>
      </c>
      <c r="C1" s="65" t="s">
        <v>75</v>
      </c>
      <c r="D1" s="75" t="s">
        <v>76</v>
      </c>
      <c r="E1" s="65"/>
    </row>
    <row r="2" spans="1:5" ht="30.75" thickTop="1" x14ac:dyDescent="0.25">
      <c r="A2" s="17" t="s">
        <v>13</v>
      </c>
      <c r="B2" s="34" t="s">
        <v>22</v>
      </c>
      <c r="C2" s="56" t="s">
        <v>22</v>
      </c>
      <c r="D2" s="76" t="s">
        <v>22</v>
      </c>
      <c r="E2" s="53" t="s">
        <v>23</v>
      </c>
    </row>
    <row r="3" spans="1:5" s="22" customFormat="1" x14ac:dyDescent="0.25">
      <c r="A3" s="28">
        <v>2016</v>
      </c>
      <c r="B3" s="74">
        <v>0</v>
      </c>
      <c r="C3" s="45">
        <f>B3/Pristalsregulering!$C$8</f>
        <v>0</v>
      </c>
      <c r="D3" s="77">
        <f>IF(C4=0,0,AVERAGEIF(C4:C6,"&lt;&gt;0"))+C3</f>
        <v>1513735.41</v>
      </c>
      <c r="E3" s="57">
        <f>SUM(D3:D3)</f>
        <v>1513735.41</v>
      </c>
    </row>
    <row r="4" spans="1:5" x14ac:dyDescent="0.25">
      <c r="A4" s="28">
        <v>2015</v>
      </c>
      <c r="B4" s="35">
        <v>1730409</v>
      </c>
      <c r="C4" s="45">
        <f>B4</f>
        <v>1730409</v>
      </c>
      <c r="D4" s="77"/>
      <c r="E4" s="54"/>
    </row>
    <row r="5" spans="1:5" x14ac:dyDescent="0.25">
      <c r="A5" s="28">
        <v>2014</v>
      </c>
      <c r="B5" s="35">
        <v>1296025</v>
      </c>
      <c r="C5" s="45">
        <f>B5*Pristalsregulering!$C$7</f>
        <v>1297061.8199999998</v>
      </c>
      <c r="D5" s="77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7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9" t="s">
        <v>24</v>
      </c>
      <c r="C1" s="80"/>
      <c r="D1" s="80"/>
      <c r="E1" s="81" t="s">
        <v>54</v>
      </c>
      <c r="F1" s="82"/>
      <c r="G1" s="83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21600</v>
      </c>
      <c r="C3" s="42">
        <v>51760</v>
      </c>
      <c r="D3" s="42">
        <v>0</v>
      </c>
      <c r="E3" s="41">
        <f>B3</f>
        <v>21600</v>
      </c>
      <c r="F3" s="42">
        <f t="shared" ref="F3:G3" si="0">C3</f>
        <v>51760</v>
      </c>
      <c r="G3" s="43">
        <f t="shared" si="0"/>
        <v>0</v>
      </c>
      <c r="H3" s="44">
        <f>IF(E3=0,0,AVERAGEIF(E3:E5,"&lt;&gt;0"))+IF(F3=0,0,AVERAGEIF(F3:F5,"&lt;&gt;0"))+IF(G3=0,0,AVERAGEIF(G3:G5,"&lt;&gt;0"))</f>
        <v>75135.179733333323</v>
      </c>
    </row>
    <row r="4" spans="1:8" x14ac:dyDescent="0.25">
      <c r="A4" s="31">
        <v>2014</v>
      </c>
      <c r="B4" s="41">
        <v>19750</v>
      </c>
      <c r="C4" s="42">
        <v>39200</v>
      </c>
      <c r="D4" s="42">
        <v>8000</v>
      </c>
      <c r="E4" s="41">
        <f>B4*Pristalsregulering!$C$7</f>
        <v>19765.8</v>
      </c>
      <c r="F4" s="42">
        <f>C4*Pristalsregulering!$C$7</f>
        <v>39231.359999999993</v>
      </c>
      <c r="G4" s="43">
        <f>D4*Pristalsregulering!$C$7</f>
        <v>8006.4</v>
      </c>
      <c r="H4" s="42"/>
    </row>
    <row r="5" spans="1:8" x14ac:dyDescent="0.25">
      <c r="A5" s="31">
        <v>2013</v>
      </c>
      <c r="B5" s="41">
        <v>54000</v>
      </c>
      <c r="C5" s="42">
        <v>37600</v>
      </c>
      <c r="D5" s="42">
        <v>0</v>
      </c>
      <c r="E5" s="41">
        <f>B5*Pristalsregulering!$C$7*Pristalsregulering!$C$6</f>
        <v>54853.847999999991</v>
      </c>
      <c r="F5" s="42">
        <f>C5*Pristalsregulering!$C$7*Pristalsregulering!$C$6</f>
        <v>38194.53119999999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3"/>
      <c r="B1" s="82" t="s">
        <v>68</v>
      </c>
      <c r="C1" s="82"/>
      <c r="D1" s="83"/>
      <c r="E1" s="84" t="s">
        <v>69</v>
      </c>
      <c r="F1" s="84"/>
      <c r="G1" s="84"/>
    </row>
    <row r="2" spans="1:7" s="22" customFormat="1" ht="15.75" thickTop="1" x14ac:dyDescent="0.25">
      <c r="A2" s="71" t="s">
        <v>13</v>
      </c>
      <c r="B2" s="23" t="s">
        <v>67</v>
      </c>
      <c r="C2" s="23" t="s">
        <v>1</v>
      </c>
      <c r="D2" s="28" t="s">
        <v>77</v>
      </c>
      <c r="E2" s="22" t="s">
        <v>0</v>
      </c>
      <c r="F2" s="22" t="s">
        <v>1</v>
      </c>
      <c r="G2" s="22" t="s">
        <v>77</v>
      </c>
    </row>
    <row r="3" spans="1:7" s="22" customFormat="1" x14ac:dyDescent="0.25">
      <c r="A3" s="72">
        <v>2015</v>
      </c>
      <c r="B3" s="38">
        <v>15792304.395157209</v>
      </c>
      <c r="C3" s="38">
        <v>2322783.4758000001</v>
      </c>
      <c r="D3" s="40">
        <v>537942.32063333294</v>
      </c>
      <c r="E3" s="35">
        <f>B3*Pristalsregulering!C2*Pristalsregulering!C3*Pristalsregulering!C4*Pristalsregulering!C5*Pristalsregulering!C6*Pristalsregulering!C7</f>
        <v>17193065.451097962</v>
      </c>
      <c r="F3" s="35">
        <v>2372444.2674877024</v>
      </c>
      <c r="G3" s="35">
        <f xml:space="preserve"> D3/Pristalsregulering!$C$8</f>
        <v>539994.29896941676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70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9" t="s">
        <v>40</v>
      </c>
      <c r="C1" s="80"/>
      <c r="D1" s="80"/>
      <c r="E1" s="80"/>
      <c r="F1" s="81" t="s">
        <v>55</v>
      </c>
      <c r="G1" s="82"/>
      <c r="H1" s="82"/>
      <c r="I1" s="82"/>
      <c r="J1" s="85" t="s">
        <v>29</v>
      </c>
      <c r="K1" s="84"/>
      <c r="L1" s="86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72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900780</v>
      </c>
      <c r="D3" s="38">
        <v>0</v>
      </c>
      <c r="E3" s="40">
        <v>0</v>
      </c>
      <c r="F3" s="38">
        <f>B3</f>
        <v>0</v>
      </c>
      <c r="G3" s="38">
        <f>C3</f>
        <v>900780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900780</v>
      </c>
      <c r="L3" s="43">
        <f>AVERAGE(H3:H5)+AVERAGE(I3:I5)</f>
        <v>0</v>
      </c>
      <c r="M3" s="44">
        <f>SUM(J3:L3)</f>
        <v>900780</v>
      </c>
      <c r="N3" s="23"/>
    </row>
    <row r="4" spans="1:14" x14ac:dyDescent="0.25">
      <c r="A4" s="28">
        <v>2014</v>
      </c>
      <c r="B4" s="45">
        <v>0</v>
      </c>
      <c r="C4" s="38">
        <v>819347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820002.47759999998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493113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500910.10275599989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8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56</v>
      </c>
      <c r="L1" s="69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102062</v>
      </c>
      <c r="D2" s="42">
        <v>68017</v>
      </c>
      <c r="E2" s="42">
        <v>165404</v>
      </c>
      <c r="F2" s="42">
        <v>64000</v>
      </c>
      <c r="G2" s="42">
        <v>0</v>
      </c>
      <c r="H2" s="42">
        <v>474065</v>
      </c>
      <c r="I2" s="42">
        <v>0</v>
      </c>
      <c r="J2" s="42"/>
      <c r="K2" s="42"/>
      <c r="L2" s="43">
        <v>0</v>
      </c>
      <c r="M2" s="44">
        <f>SUM(B2:L2)</f>
        <v>906071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B28"/>
  <sheetViews>
    <sheetView workbookViewId="0"/>
  </sheetViews>
  <sheetFormatPr defaultColWidth="0" defaultRowHeight="15" zeroHeight="1" x14ac:dyDescent="0.25"/>
  <cols>
    <col min="1" max="1" width="38.85546875" customWidth="1"/>
    <col min="2" max="2" width="18" style="35" bestFit="1" customWidth="1"/>
    <col min="3" max="16384" width="9.140625" hidden="1"/>
  </cols>
  <sheetData>
    <row r="1" spans="1:2" x14ac:dyDescent="0.25">
      <c r="A1" s="63" t="s">
        <v>57</v>
      </c>
      <c r="B1" s="64" t="s">
        <v>58</v>
      </c>
    </row>
    <row r="2" spans="1:2" x14ac:dyDescent="0.25">
      <c r="A2" s="23" t="s">
        <v>73</v>
      </c>
      <c r="B2" s="35">
        <v>0</v>
      </c>
    </row>
    <row r="3" spans="1:2" hidden="1" x14ac:dyDescent="0.25"/>
    <row r="4" spans="1:2" hidden="1" x14ac:dyDescent="0.25"/>
    <row r="5" spans="1:2" hidden="1" x14ac:dyDescent="0.25"/>
    <row r="6" spans="1:2" hidden="1" x14ac:dyDescent="0.25"/>
    <row r="7" spans="1:2" hidden="1" x14ac:dyDescent="0.25"/>
    <row r="8" spans="1:2" hidden="1" x14ac:dyDescent="0.25"/>
    <row r="9" spans="1:2" hidden="1" x14ac:dyDescent="0.25"/>
    <row r="10" spans="1:2" hidden="1" x14ac:dyDescent="0.25"/>
    <row r="11" spans="1:2" hidden="1" x14ac:dyDescent="0.25"/>
    <row r="12" spans="1:2" hidden="1" x14ac:dyDescent="0.25"/>
    <row r="13" spans="1:2" hidden="1" x14ac:dyDescent="0.25"/>
    <row r="14" spans="1:2" hidden="1" x14ac:dyDescent="0.25"/>
    <row r="15" spans="1:2" hidden="1" x14ac:dyDescent="0.25"/>
    <row r="16" spans="1: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</sheetData>
  <sheetProtection password="DFE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6" t="s">
        <v>59</v>
      </c>
      <c r="B2" s="67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50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51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Medfinansiering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2017-10-13T11:59:51Z</dcterms:modified>
</cp:coreProperties>
</file>