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3. Korrigeret grundlag" sheetId="7" r:id="rId4"/>
    <sheet name="Fane 4. Ikke-påvirkelige omk." sheetId="19" r:id="rId5"/>
    <sheet name="Fane 5. Individuelt eff.krav" sheetId="8" r:id="rId6"/>
    <sheet name="Fane 6. Generelt eff.krav" sheetId="9" r:id="rId7"/>
    <sheet name="Fane 7. Hist. over el. underdæk" sheetId="10" r:id="rId8"/>
    <sheet name="Fane 8. Gen. inv. i 2016" sheetId="11" r:id="rId9"/>
    <sheet name="Fane 9. Korrektion af PL2016" sheetId="12" r:id="rId10"/>
    <sheet name="Fane 10. Kontrol af PL2016" sheetId="13" r:id="rId11"/>
    <sheet name="Fane 11. Tillæg" sheetId="20" r:id="rId12"/>
    <sheet name="Fane 12. Bortfald" sheetId="21" r:id="rId13"/>
  </sheets>
  <calcPr calcId="145621"/>
</workbook>
</file>

<file path=xl/calcChain.xml><?xml version="1.0" encoding="utf-8"?>
<calcChain xmlns="http://schemas.openxmlformats.org/spreadsheetml/2006/main">
  <c r="E14" i="15" l="1"/>
  <c r="G13" i="9" l="1"/>
  <c r="G9" i="9"/>
  <c r="G9" i="8"/>
  <c r="G13" i="10" l="1"/>
  <c r="G16" i="9" l="1"/>
  <c r="E12" i="2"/>
  <c r="G11" i="10" l="1"/>
  <c r="F18" i="20"/>
  <c r="F19" i="20" s="1"/>
  <c r="E16" i="2" s="1"/>
  <c r="G22" i="7"/>
  <c r="E13" i="2" s="1"/>
  <c r="G12" i="8" l="1"/>
  <c r="G12" i="9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62" i="11"/>
  <c r="F61" i="1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45" i="11"/>
  <c r="F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28" i="11"/>
  <c r="F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G41" i="12"/>
  <c r="F11" i="20" l="1"/>
  <c r="F12" i="20" s="1"/>
  <c r="E15" i="2" s="1"/>
  <c r="D11" i="20"/>
  <c r="D12" i="20" s="1"/>
  <c r="E14" i="2" s="1"/>
  <c r="E18" i="2"/>
  <c r="E17" i="2"/>
  <c r="E10" i="2" l="1"/>
  <c r="G18" i="19"/>
  <c r="G19" i="19" s="1"/>
  <c r="E11" i="2" s="1"/>
  <c r="G12" i="7"/>
  <c r="E10" i="15" l="1"/>
  <c r="E9" i="2"/>
  <c r="E15" i="13"/>
  <c r="F11" i="11"/>
  <c r="F77" i="11"/>
  <c r="E20" i="2" l="1"/>
  <c r="E17" i="15"/>
  <c r="G17" i="15" s="1"/>
  <c r="E32" i="2" l="1"/>
  <c r="G11" i="9" l="1"/>
  <c r="G30" i="13"/>
  <c r="E35" i="13" l="1"/>
  <c r="G35" i="13" s="1"/>
  <c r="E27" i="13"/>
  <c r="E19" i="13"/>
  <c r="G11" i="12"/>
  <c r="E27" i="2" s="1"/>
  <c r="G29" i="12"/>
  <c r="E30" i="2" s="1"/>
  <c r="G23" i="12"/>
  <c r="E29" i="2" s="1"/>
  <c r="G17" i="12"/>
  <c r="E28" i="2" s="1"/>
  <c r="F10" i="11"/>
  <c r="F78" i="11" s="1"/>
  <c r="E25" i="2"/>
  <c r="G25" i="2" s="1"/>
  <c r="G33" i="12" l="1"/>
  <c r="G35" i="12" s="1"/>
  <c r="E31" i="2" s="1"/>
  <c r="E28" i="13"/>
  <c r="G28" i="13" s="1"/>
  <c r="G36" i="13" s="1"/>
  <c r="E35" i="2" s="1"/>
  <c r="G35" i="2" s="1"/>
  <c r="G17" i="9"/>
  <c r="E22" i="2" s="1"/>
  <c r="E33" i="2" l="1"/>
  <c r="G33" i="2" s="1"/>
  <c r="E21" i="2" l="1"/>
  <c r="E23" i="2" s="1"/>
  <c r="G23" i="2" l="1"/>
  <c r="E9" i="15" s="1"/>
  <c r="G36" i="2" l="1"/>
  <c r="E13" i="15" l="1"/>
  <c r="E12" i="15"/>
  <c r="E15" i="15" l="1"/>
  <c r="G15" i="15" s="1"/>
  <c r="G18" i="15" s="1"/>
</calcChain>
</file>

<file path=xl/sharedStrings.xml><?xml version="1.0" encoding="utf-8"?>
<sst xmlns="http://schemas.openxmlformats.org/spreadsheetml/2006/main" count="487" uniqueCount="203">
  <si>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</si>
  <si>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</si>
  <si>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</si>
  <si>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</si>
  <si>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</si>
  <si>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</si>
  <si>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</si>
  <si>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</si>
  <si>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</si>
  <si>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</si>
  <si>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</si>
  <si>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</si>
  <si>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</si>
  <si>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</si>
  <si>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</si>
  <si>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</si>
  <si>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</si>
  <si>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</si>
  <si>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</si>
  <si>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</si>
  <si>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</si>
  <si>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</si>
  <si>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</si>
  <si>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</si>
  <si>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</si>
  <si>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</si>
  <si>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</si>
  <si>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</si>
  <si>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</si>
  <si>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</si>
  <si>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</si>
  <si>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</si>
  <si>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</si>
  <si>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</si>
  <si>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</si>
  <si>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</si>
  <si>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</si>
  <si>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</si>
  <si>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</si>
  <si>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</si>
  <si>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</si>
  <si>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</si>
  <si>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</si>
  <si>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</si>
  <si>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</si>
  <si>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</si>
  <si>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</si>
  <si>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</si>
  <si>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</si>
  <si>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</si>
  <si>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</si>
  <si>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</si>
  <si>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</si>
  <si>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</si>
  <si>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</si>
  <si>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</si>
  <si>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</si>
  <si>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</si>
  <si>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</si>
  <si>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</si>
  <si>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</si>
  <si>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</si>
  <si>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</si>
  <si>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</si>
  <si>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</si>
  <si>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</si>
  <si>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</si>
  <si>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</si>
  <si>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</si>
  <si>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</si>
  <si>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</si>
  <si>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</si>
  <si>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</si>
  <si>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</si>
  <si>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</si>
  <si>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</si>
  <si>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</si>
  <si>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</si>
  <si>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Korrektion for faktiske afholdte periodevise driftsomkostninger i 2016</t>
  </si>
  <si>
    <t>Del af godkendt tillæg i prislofterne vedrørende omkostninger i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</si>
  <si>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</si>
  <si>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</si>
  <si>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</si>
  <si>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</si>
  <si>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</si>
  <si>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</si>
  <si>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</si>
  <si>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</si>
  <si>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</si>
  <si>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</si>
  <si>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</si>
  <si>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</si>
  <si>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</si>
  <si>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</si>
  <si>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</si>
  <si>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</si>
  <si>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</si>
  <si>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</si>
  <si>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</si>
  <si>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</si>
  <si>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</si>
  <si>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</si>
  <si>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</si>
  <si>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</si>
  <si>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</si>
  <si>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</si>
  <si>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</si>
  <si>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</si>
  <si>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</si>
  <si>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</si>
  <si>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</si>
  <si>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</si>
  <si>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</si>
  <si>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</si>
  <si>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</si>
  <si>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</si>
  <si>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</si>
  <si>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</si>
  <si>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</si>
  <si>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</si>
  <si>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</si>
  <si>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</si>
  <si>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</si>
  <si>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</si>
  <si>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</si>
  <si>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</si>
  <si>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</si>
  <si>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</si>
  <si>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</si>
  <si>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</si>
  <si>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</si>
  <si>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</si>
  <si>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</si>
  <si>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</si>
  <si>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</si>
  <si>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</si>
  <si>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</si>
  <si>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</si>
  <si>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</si>
  <si>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</si>
  <si>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</si>
  <si>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</si>
  <si>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</si>
  <si>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</si>
  <si>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</si>
  <si>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</si>
  <si>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Selskabets faktiske udgifter til periodevise driftsomkostninger i 2016</t>
  </si>
  <si>
    <t>Bortfald eller nedsættelse i alt i 2017-niveau</t>
  </si>
  <si>
    <t>Nye tillæg i alt i 2017-niveau</t>
  </si>
  <si>
    <t>Stik</t>
  </si>
  <si>
    <t>Tryksatte minipumpestationer (husstandssystemer)</t>
  </si>
  <si>
    <t>Ledningsnet ≤ Ø 200 mm</t>
  </si>
  <si>
    <t>Ø 200 mm &lt; Ledningsnet ≤ Ø 500 mm</t>
  </si>
  <si>
    <t>Ø 500 mm &lt; Ledningsnet ≤ Ø 800 mm</t>
  </si>
  <si>
    <t>Brønde</t>
  </si>
  <si>
    <t>Jordbassin Klasse B</t>
  </si>
  <si>
    <t>Pumpestationer i brønde (&lt; 6,25 m2), Mek/EL</t>
  </si>
  <si>
    <t>Pumpestationer i brønde (&lt; 6,25 m2), Konstruktioner</t>
  </si>
  <si>
    <t>Pumpestationer i underjordiske bygværker (&lt;50 m2), Konstruktioner</t>
  </si>
  <si>
    <t>Pumpestationer i underjordiske bygværker (&lt;50 m2), Mek/El</t>
  </si>
  <si>
    <t>Pumpestationer i underjordiske bygværker (&lt;50 m2), SRO</t>
  </si>
  <si>
    <t>Jordbassin Klasse A</t>
  </si>
  <si>
    <t>Indløb-/udløbsarrangement</t>
  </si>
  <si>
    <t>Forsinkelsesbassiner, lukkede uden automatisk rensning og SRO Miljøklasse B (mindre end 1.000 m3)</t>
  </si>
  <si>
    <t>Indløb med riste, Mek/EL</t>
  </si>
  <si>
    <t>Indløb med riste, SRO</t>
  </si>
  <si>
    <t>Beluftningstanke, Mek/EL</t>
  </si>
  <si>
    <t>Efterklaringstanke, Mek/El</t>
  </si>
  <si>
    <t>Efterklaringstanke, SRO</t>
  </si>
  <si>
    <t>Slutafvanding, slam - højteknologisk (centrifuger), Mek/El</t>
  </si>
  <si>
    <t>Beluftningstanke, SRO</t>
  </si>
  <si>
    <t>Pumpestationer i brønde (&lt; 6,25 m2), SRO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</si>
  <si>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</si>
  <si>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</si>
  <si>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</si>
  <si>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</si>
  <si>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</si>
  <si>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</si>
  <si>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</si>
  <si>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</si>
  <si>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</si>
  <si>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</si>
  <si>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</si>
  <si>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</si>
  <si>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</si>
  <si>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</si>
  <si>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</si>
  <si>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</si>
  <si>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</si>
  <si>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</si>
  <si>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</si>
  <si>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</si>
  <si>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</si>
  <si>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</si>
  <si>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</si>
  <si>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</si>
  <si>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Korrektion af tillæg for periodevise driftsomkostninger i 2016</t>
  </si>
  <si>
    <t>Intet bortfald</t>
  </si>
  <si>
    <t xml:space="preserve">Tilbagebetaling af vejbidrag (§11, stk. 9) 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</si>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</sst>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09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2" fontId="8" fillId="10" borderId="1" xfId="0" applyNumberFormat="1" applyFont="1" applyFill="1" applyBorder="1" applyProtection="1"/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3" fontId="8" fillId="10" borderId="1" xfId="1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>
      <alignment horizontal="left" wrapText="1"/>
    </xf>
    <xf numFmtId="49" fontId="8" fillId="10" borderId="2" xfId="0" applyNumberFormat="1" applyFont="1" applyFill="1" applyBorder="1" applyAlignment="1" applyProtection="1">
      <alignment horizontal="left"/>
    </xf>
    <xf numFmtId="49" fontId="8" fillId="10" borderId="3" xfId="0" applyNumberFormat="1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/>
    <xf numFmtId="49" fontId="8" fillId="10" borderId="2" xfId="0" applyNumberFormat="1" applyFont="1" applyFill="1" applyBorder="1" applyAlignment="1" applyProtection="1"/>
    <xf numFmtId="49" fontId="8" fillId="10" borderId="10" xfId="0" applyNumberFormat="1" applyFont="1" applyFill="1" applyBorder="1" applyAlignment="1" applyProtection="1"/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56" t="s">
        <v>5</v>
      </c>
      <c r="E6" s="56"/>
      <c r="F6" s="56"/>
      <c r="G6" s="56"/>
      <c r="H6" s="4"/>
      <c r="I6" s="2"/>
    </row>
    <row r="7" spans="1:9" ht="15" customHeight="1" x14ac:dyDescent="0.25">
      <c r="A7" s="2"/>
      <c r="B7" s="2"/>
      <c r="C7" s="4"/>
      <c r="D7" s="56"/>
      <c r="E7" s="56"/>
      <c r="F7" s="56"/>
      <c r="G7" s="56"/>
      <c r="H7" s="4"/>
      <c r="I7" s="2"/>
    </row>
    <row r="8" spans="1:9" ht="15.75" x14ac:dyDescent="0.25">
      <c r="A8" s="2"/>
      <c r="B8" s="2"/>
      <c r="C8" s="5"/>
      <c r="D8" s="61" t="s">
        <v>124</v>
      </c>
      <c r="E8" s="61"/>
      <c r="F8" s="61"/>
      <c r="G8" s="61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60" t="s">
        <v>6</v>
      </c>
      <c r="E11" s="60"/>
      <c r="F11" s="60"/>
      <c r="G11" s="60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53" t="s">
        <v>69</v>
      </c>
      <c r="E13" s="54"/>
      <c r="F13" s="54"/>
      <c r="G13" s="55"/>
      <c r="H13" s="2"/>
      <c r="I13" s="2"/>
    </row>
    <row r="14" spans="1:9" x14ac:dyDescent="0.25">
      <c r="A14" s="2"/>
      <c r="B14" s="2"/>
      <c r="C14" s="7" t="s">
        <v>68</v>
      </c>
      <c r="D14" s="53" t="s">
        <v>70</v>
      </c>
      <c r="E14" s="54"/>
      <c r="F14" s="54"/>
      <c r="G14" s="55"/>
      <c r="H14" s="2"/>
      <c r="I14" s="2"/>
    </row>
    <row r="15" spans="1:9" x14ac:dyDescent="0.25">
      <c r="A15" s="2"/>
      <c r="B15" s="2"/>
      <c r="C15" s="7" t="s">
        <v>8</v>
      </c>
      <c r="D15" s="62" t="s">
        <v>63</v>
      </c>
      <c r="E15" s="63"/>
      <c r="F15" s="63"/>
      <c r="G15" s="64"/>
      <c r="H15" s="2"/>
      <c r="I15" s="2"/>
    </row>
    <row r="16" spans="1:9" x14ac:dyDescent="0.25">
      <c r="A16" s="2"/>
      <c r="B16" s="2"/>
      <c r="C16" s="7" t="s">
        <v>9</v>
      </c>
      <c r="D16" s="62" t="s">
        <v>49</v>
      </c>
      <c r="E16" s="63"/>
      <c r="F16" s="63"/>
      <c r="G16" s="64"/>
      <c r="H16" s="2"/>
      <c r="I16" s="2"/>
    </row>
    <row r="17" spans="1:9" x14ac:dyDescent="0.25">
      <c r="A17" s="2"/>
      <c r="B17" s="2"/>
      <c r="C17" s="7" t="s">
        <v>10</v>
      </c>
      <c r="D17" s="65" t="s">
        <v>15</v>
      </c>
      <c r="E17" s="66"/>
      <c r="F17" s="66"/>
      <c r="G17" s="67"/>
      <c r="H17" s="2"/>
      <c r="I17" s="2"/>
    </row>
    <row r="18" spans="1:9" x14ac:dyDescent="0.25">
      <c r="A18" s="2"/>
      <c r="B18" s="2"/>
      <c r="C18" s="7" t="s">
        <v>11</v>
      </c>
      <c r="D18" s="65" t="s">
        <v>16</v>
      </c>
      <c r="E18" s="66"/>
      <c r="F18" s="66"/>
      <c r="G18" s="67"/>
      <c r="H18" s="2"/>
      <c r="I18" s="2"/>
    </row>
    <row r="19" spans="1:9" x14ac:dyDescent="0.25">
      <c r="A19" s="2"/>
      <c r="B19" s="2"/>
      <c r="C19" s="7" t="s">
        <v>12</v>
      </c>
      <c r="D19" s="68" t="s">
        <v>17</v>
      </c>
      <c r="E19" s="69"/>
      <c r="F19" s="69"/>
      <c r="G19" s="70"/>
      <c r="H19" s="2"/>
      <c r="I19" s="2"/>
    </row>
    <row r="20" spans="1:9" x14ac:dyDescent="0.25">
      <c r="A20" s="2"/>
      <c r="B20" s="2"/>
      <c r="C20" s="7" t="s">
        <v>13</v>
      </c>
      <c r="D20" s="57" t="s">
        <v>75</v>
      </c>
      <c r="E20" s="58"/>
      <c r="F20" s="58"/>
      <c r="G20" s="59"/>
      <c r="H20" s="2"/>
      <c r="I20" s="2"/>
    </row>
    <row r="21" spans="1:9" x14ac:dyDescent="0.25">
      <c r="A21" s="2"/>
      <c r="B21" s="2"/>
      <c r="C21" s="7" t="s">
        <v>14</v>
      </c>
      <c r="D21" s="57" t="s">
        <v>100</v>
      </c>
      <c r="E21" s="58"/>
      <c r="F21" s="58"/>
      <c r="G21" s="59"/>
      <c r="H21" s="2"/>
      <c r="I21" s="2"/>
    </row>
    <row r="22" spans="1:9" x14ac:dyDescent="0.25">
      <c r="A22" s="2"/>
      <c r="B22" s="2"/>
      <c r="C22" s="7" t="s">
        <v>59</v>
      </c>
      <c r="D22" s="47" t="s">
        <v>144</v>
      </c>
      <c r="E22" s="48"/>
      <c r="F22" s="48"/>
      <c r="G22" s="49"/>
      <c r="H22" s="2"/>
      <c r="I22" s="2"/>
    </row>
    <row r="23" spans="1:9" x14ac:dyDescent="0.25">
      <c r="A23" s="2"/>
      <c r="B23" s="2"/>
      <c r="C23" s="7" t="s">
        <v>66</v>
      </c>
      <c r="D23" s="50" t="s">
        <v>65</v>
      </c>
      <c r="E23" s="51"/>
      <c r="F23" s="51"/>
      <c r="G23" s="52"/>
      <c r="H23" s="2"/>
      <c r="I23" s="2"/>
    </row>
    <row r="24" spans="1:9" x14ac:dyDescent="0.25">
      <c r="A24" s="2"/>
      <c r="B24" s="2"/>
      <c r="C24" s="7" t="s">
        <v>67</v>
      </c>
      <c r="D24" s="50" t="s">
        <v>64</v>
      </c>
      <c r="E24" s="51"/>
      <c r="F24" s="51"/>
      <c r="G24" s="5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5">
    <mergeCell ref="D22:G22"/>
    <mergeCell ref="D23:G23"/>
    <mergeCell ref="D24:G24"/>
    <mergeCell ref="D14:G14"/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93" t="s">
        <v>77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90" t="s">
        <v>191</v>
      </c>
      <c r="C8" s="91"/>
      <c r="D8" s="91"/>
      <c r="E8" s="91"/>
      <c r="F8" s="91"/>
      <c r="G8" s="91"/>
      <c r="H8" s="92"/>
      <c r="I8" s="2"/>
    </row>
    <row r="9" spans="1:9" x14ac:dyDescent="0.25">
      <c r="A9" s="2"/>
      <c r="B9" s="75" t="s">
        <v>80</v>
      </c>
      <c r="C9" s="76"/>
      <c r="D9" s="76"/>
      <c r="E9" s="76"/>
      <c r="F9" s="77"/>
      <c r="G9" s="12">
        <v>542312</v>
      </c>
      <c r="H9" s="23" t="s">
        <v>4</v>
      </c>
      <c r="I9" s="2"/>
    </row>
    <row r="10" spans="1:9" x14ac:dyDescent="0.25">
      <c r="A10" s="2"/>
      <c r="B10" s="75" t="s">
        <v>81</v>
      </c>
      <c r="C10" s="76"/>
      <c r="D10" s="76"/>
      <c r="E10" s="76"/>
      <c r="F10" s="77"/>
      <c r="G10" s="12">
        <v>651000</v>
      </c>
      <c r="H10" s="23" t="s">
        <v>4</v>
      </c>
      <c r="I10" s="2"/>
    </row>
    <row r="11" spans="1:9" x14ac:dyDescent="0.25">
      <c r="A11" s="2"/>
      <c r="B11" s="85" t="s">
        <v>192</v>
      </c>
      <c r="C11" s="86"/>
      <c r="D11" s="86"/>
      <c r="E11" s="86"/>
      <c r="F11" s="87"/>
      <c r="G11" s="21">
        <f>G9-G10</f>
        <v>-108688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90" t="s">
        <v>193</v>
      </c>
      <c r="C14" s="91"/>
      <c r="D14" s="91"/>
      <c r="E14" s="91"/>
      <c r="F14" s="91"/>
      <c r="G14" s="91"/>
      <c r="H14" s="92"/>
      <c r="I14" s="2"/>
    </row>
    <row r="15" spans="1:9" x14ac:dyDescent="0.25">
      <c r="A15" s="2"/>
      <c r="B15" s="75" t="s">
        <v>82</v>
      </c>
      <c r="C15" s="76"/>
      <c r="D15" s="76"/>
      <c r="E15" s="76"/>
      <c r="F15" s="77"/>
      <c r="G15" s="12">
        <v>981094</v>
      </c>
      <c r="H15" s="23" t="s">
        <v>4</v>
      </c>
      <c r="I15" s="2"/>
    </row>
    <row r="16" spans="1:9" x14ac:dyDescent="0.25">
      <c r="A16" s="2"/>
      <c r="B16" s="75" t="s">
        <v>83</v>
      </c>
      <c r="C16" s="76"/>
      <c r="D16" s="76"/>
      <c r="E16" s="76"/>
      <c r="F16" s="77"/>
      <c r="G16" s="12">
        <v>2500000</v>
      </c>
      <c r="H16" s="23" t="s">
        <v>4</v>
      </c>
      <c r="I16" s="2"/>
    </row>
    <row r="17" spans="1:9" x14ac:dyDescent="0.25">
      <c r="A17" s="2"/>
      <c r="B17" s="85" t="s">
        <v>193</v>
      </c>
      <c r="C17" s="86"/>
      <c r="D17" s="86"/>
      <c r="E17" s="86"/>
      <c r="F17" s="87"/>
      <c r="G17" s="21">
        <f>G15-G16</f>
        <v>-1518906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90" t="s">
        <v>194</v>
      </c>
      <c r="C20" s="91"/>
      <c r="D20" s="91"/>
      <c r="E20" s="91"/>
      <c r="F20" s="91"/>
      <c r="G20" s="91"/>
      <c r="H20" s="92"/>
      <c r="I20" s="2"/>
    </row>
    <row r="21" spans="1:9" x14ac:dyDescent="0.25">
      <c r="A21" s="2"/>
      <c r="B21" s="75" t="s">
        <v>84</v>
      </c>
      <c r="C21" s="76"/>
      <c r="D21" s="76"/>
      <c r="E21" s="76"/>
      <c r="F21" s="77"/>
      <c r="G21" s="12">
        <v>38676</v>
      </c>
      <c r="H21" s="23" t="s">
        <v>4</v>
      </c>
      <c r="I21" s="2"/>
    </row>
    <row r="22" spans="1:9" x14ac:dyDescent="0.25">
      <c r="A22" s="2"/>
      <c r="B22" s="75" t="s">
        <v>85</v>
      </c>
      <c r="C22" s="76"/>
      <c r="D22" s="76"/>
      <c r="E22" s="76"/>
      <c r="F22" s="77"/>
      <c r="G22" s="12">
        <v>36000</v>
      </c>
      <c r="H22" s="23" t="s">
        <v>4</v>
      </c>
      <c r="I22" s="2"/>
    </row>
    <row r="23" spans="1:9" x14ac:dyDescent="0.25">
      <c r="A23" s="2"/>
      <c r="B23" s="85" t="s">
        <v>194</v>
      </c>
      <c r="C23" s="86"/>
      <c r="D23" s="86"/>
      <c r="E23" s="86"/>
      <c r="F23" s="87"/>
      <c r="G23" s="21">
        <f>G21-G22</f>
        <v>2676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90" t="s">
        <v>195</v>
      </c>
      <c r="C26" s="91"/>
      <c r="D26" s="91"/>
      <c r="E26" s="91"/>
      <c r="F26" s="91"/>
      <c r="G26" s="91"/>
      <c r="H26" s="92"/>
      <c r="I26" s="2"/>
    </row>
    <row r="27" spans="1:9" ht="29.25" customHeight="1" x14ac:dyDescent="0.25">
      <c r="A27" s="2"/>
      <c r="B27" s="72" t="s">
        <v>86</v>
      </c>
      <c r="C27" s="73"/>
      <c r="D27" s="73"/>
      <c r="E27" s="73"/>
      <c r="F27" s="74"/>
      <c r="G27" s="12">
        <v>0</v>
      </c>
      <c r="H27" s="23" t="s">
        <v>4</v>
      </c>
      <c r="I27" s="2"/>
    </row>
    <row r="28" spans="1:9" x14ac:dyDescent="0.25">
      <c r="A28" s="2"/>
      <c r="B28" s="75" t="s">
        <v>87</v>
      </c>
      <c r="C28" s="76"/>
      <c r="D28" s="76"/>
      <c r="E28" s="76"/>
      <c r="F28" s="77"/>
      <c r="G28" s="12">
        <v>0</v>
      </c>
      <c r="H28" s="23" t="s">
        <v>4</v>
      </c>
      <c r="I28" s="2"/>
    </row>
    <row r="29" spans="1:9" ht="15" customHeight="1" x14ac:dyDescent="0.25">
      <c r="A29" s="2"/>
      <c r="B29" s="90" t="s">
        <v>195</v>
      </c>
      <c r="C29" s="91"/>
      <c r="D29" s="91"/>
      <c r="E29" s="91"/>
      <c r="F29" s="92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90" t="s">
        <v>88</v>
      </c>
      <c r="C32" s="91"/>
      <c r="D32" s="91"/>
      <c r="E32" s="91"/>
      <c r="F32" s="91"/>
      <c r="G32" s="91"/>
      <c r="H32" s="92"/>
      <c r="I32" s="2"/>
    </row>
    <row r="33" spans="1:9" x14ac:dyDescent="0.25">
      <c r="A33" s="2"/>
      <c r="B33" s="75" t="s">
        <v>89</v>
      </c>
      <c r="C33" s="76"/>
      <c r="D33" s="76"/>
      <c r="E33" s="76"/>
      <c r="F33" s="77"/>
      <c r="G33" s="12">
        <f>'Fane 8. Gen. inv. i 2016'!F78</f>
        <v>699488.60333333362</v>
      </c>
      <c r="H33" s="23" t="s">
        <v>4</v>
      </c>
      <c r="I33" s="2"/>
    </row>
    <row r="34" spans="1:9" x14ac:dyDescent="0.25">
      <c r="A34" s="2"/>
      <c r="B34" s="75" t="s">
        <v>90</v>
      </c>
      <c r="C34" s="76"/>
      <c r="D34" s="76"/>
      <c r="E34" s="76"/>
      <c r="F34" s="77"/>
      <c r="G34" s="12">
        <v>749806.66666666663</v>
      </c>
      <c r="H34" s="23" t="s">
        <v>4</v>
      </c>
      <c r="I34" s="2"/>
    </row>
    <row r="35" spans="1:9" x14ac:dyDescent="0.25">
      <c r="A35" s="2"/>
      <c r="B35" s="85" t="s">
        <v>88</v>
      </c>
      <c r="C35" s="86"/>
      <c r="D35" s="86"/>
      <c r="E35" s="86"/>
      <c r="F35" s="87"/>
      <c r="G35" s="21">
        <f>G33-G34</f>
        <v>-50318.063333333004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85" t="s">
        <v>196</v>
      </c>
      <c r="C38" s="86"/>
      <c r="D38" s="86"/>
      <c r="E38" s="86"/>
      <c r="F38" s="86"/>
      <c r="G38" s="86"/>
      <c r="H38" s="87"/>
      <c r="I38" s="2"/>
    </row>
    <row r="39" spans="1:9" x14ac:dyDescent="0.25">
      <c r="A39" s="2"/>
      <c r="B39" s="75" t="s">
        <v>146</v>
      </c>
      <c r="C39" s="76"/>
      <c r="D39" s="76"/>
      <c r="E39" s="76"/>
      <c r="F39" s="77"/>
      <c r="G39" s="12">
        <v>754958</v>
      </c>
      <c r="H39" s="23" t="s">
        <v>4</v>
      </c>
      <c r="I39" s="2"/>
    </row>
    <row r="40" spans="1:9" x14ac:dyDescent="0.25">
      <c r="A40" s="2"/>
      <c r="B40" s="75" t="s">
        <v>79</v>
      </c>
      <c r="C40" s="76"/>
      <c r="D40" s="76"/>
      <c r="E40" s="76"/>
      <c r="F40" s="77"/>
      <c r="G40" s="12">
        <v>938990.18137175986</v>
      </c>
      <c r="H40" s="23" t="s">
        <v>4</v>
      </c>
      <c r="I40" s="2"/>
    </row>
    <row r="41" spans="1:9" x14ac:dyDescent="0.25">
      <c r="A41" s="2"/>
      <c r="B41" s="85" t="s">
        <v>196</v>
      </c>
      <c r="C41" s="86"/>
      <c r="D41" s="86"/>
      <c r="E41" s="86"/>
      <c r="F41" s="87"/>
      <c r="G41" s="21">
        <f>G39-G40</f>
        <v>-184032.18137175986</v>
      </c>
      <c r="H41" s="22" t="s">
        <v>4</v>
      </c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5">
    <mergeCell ref="B38:H38"/>
    <mergeCell ref="B39:F39"/>
    <mergeCell ref="B40:F40"/>
    <mergeCell ref="B41:F41"/>
    <mergeCell ref="B3:H4"/>
    <mergeCell ref="B8:H8"/>
    <mergeCell ref="B11:F11"/>
    <mergeCell ref="B10:F10"/>
    <mergeCell ref="B9:F9"/>
    <mergeCell ref="B14:H14"/>
    <mergeCell ref="B15:F15"/>
    <mergeCell ref="B16:F16"/>
    <mergeCell ref="B17:F17"/>
    <mergeCell ref="B20:H20"/>
    <mergeCell ref="B21:F21"/>
    <mergeCell ref="B22:F22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93" t="s">
        <v>91</v>
      </c>
      <c r="C3" s="93"/>
      <c r="D3" s="93"/>
      <c r="E3" s="93"/>
      <c r="F3" s="93"/>
      <c r="G3" s="93"/>
      <c r="H3" s="93"/>
      <c r="I3" s="2"/>
    </row>
    <row r="4" spans="1:9" ht="1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92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82" t="s">
        <v>93</v>
      </c>
      <c r="C9" s="83"/>
      <c r="D9" s="83"/>
      <c r="E9" s="83"/>
      <c r="F9" s="84"/>
      <c r="G9" s="18">
        <v>56703197.564538233</v>
      </c>
      <c r="H9" s="28" t="s">
        <v>4</v>
      </c>
      <c r="I9" s="2"/>
    </row>
    <row r="10" spans="1:9" x14ac:dyDescent="0.25">
      <c r="A10" s="2"/>
      <c r="B10" s="85" t="s">
        <v>94</v>
      </c>
      <c r="C10" s="86"/>
      <c r="D10" s="86"/>
      <c r="E10" s="86"/>
      <c r="F10" s="86"/>
      <c r="G10" s="86"/>
      <c r="H10" s="87"/>
      <c r="I10" s="2"/>
    </row>
    <row r="11" spans="1:9" x14ac:dyDescent="0.25">
      <c r="A11" s="2"/>
      <c r="B11" s="75" t="s">
        <v>19</v>
      </c>
      <c r="C11" s="76"/>
      <c r="D11" s="77"/>
      <c r="E11" s="12">
        <v>27543575</v>
      </c>
      <c r="F11" s="23" t="s">
        <v>4</v>
      </c>
      <c r="G11" s="20"/>
      <c r="H11" s="31"/>
      <c r="I11" s="2"/>
    </row>
    <row r="12" spans="1:9" x14ac:dyDescent="0.25">
      <c r="A12" s="2"/>
      <c r="B12" s="75" t="s">
        <v>95</v>
      </c>
      <c r="C12" s="76"/>
      <c r="D12" s="77"/>
      <c r="E12" s="12">
        <v>4774935.3500781097</v>
      </c>
      <c r="F12" s="23" t="s">
        <v>4</v>
      </c>
      <c r="G12" s="15"/>
      <c r="H12" s="32"/>
      <c r="I12" s="2"/>
    </row>
    <row r="13" spans="1:9" x14ac:dyDescent="0.25">
      <c r="A13" s="2"/>
      <c r="B13" s="75" t="s">
        <v>96</v>
      </c>
      <c r="C13" s="76"/>
      <c r="D13" s="77"/>
      <c r="E13" s="12">
        <v>370060.75806666538</v>
      </c>
      <c r="F13" s="23" t="s">
        <v>4</v>
      </c>
      <c r="G13" s="15"/>
      <c r="H13" s="32"/>
      <c r="I13" s="2"/>
    </row>
    <row r="14" spans="1:9" x14ac:dyDescent="0.25">
      <c r="A14" s="2"/>
      <c r="B14" s="75" t="s">
        <v>97</v>
      </c>
      <c r="C14" s="76"/>
      <c r="D14" s="77"/>
      <c r="E14" s="12">
        <v>1693367</v>
      </c>
      <c r="F14" s="23" t="s">
        <v>4</v>
      </c>
      <c r="G14" s="15"/>
      <c r="H14" s="32"/>
      <c r="I14" s="2"/>
    </row>
    <row r="15" spans="1:9" x14ac:dyDescent="0.25">
      <c r="A15" s="2"/>
      <c r="B15" s="82" t="s">
        <v>20</v>
      </c>
      <c r="C15" s="83"/>
      <c r="D15" s="84"/>
      <c r="E15" s="18">
        <f>SUM(E11:E14)</f>
        <v>34381938.108144775</v>
      </c>
      <c r="F15" s="28" t="s">
        <v>4</v>
      </c>
      <c r="G15" s="15"/>
      <c r="H15" s="32"/>
      <c r="I15" s="2"/>
    </row>
    <row r="16" spans="1:9" x14ac:dyDescent="0.25">
      <c r="A16" s="2"/>
      <c r="B16" s="75" t="s">
        <v>21</v>
      </c>
      <c r="C16" s="76"/>
      <c r="D16" s="77"/>
      <c r="E16" s="12">
        <v>559564</v>
      </c>
      <c r="F16" s="23" t="s">
        <v>4</v>
      </c>
      <c r="G16" s="15"/>
      <c r="H16" s="32"/>
      <c r="I16" s="2"/>
    </row>
    <row r="17" spans="1:9" x14ac:dyDescent="0.25">
      <c r="A17" s="2"/>
      <c r="B17" s="75" t="s">
        <v>22</v>
      </c>
      <c r="C17" s="76"/>
      <c r="D17" s="77"/>
      <c r="E17" s="12">
        <v>300000</v>
      </c>
      <c r="F17" s="23" t="s">
        <v>4</v>
      </c>
      <c r="G17" s="15"/>
      <c r="H17" s="32"/>
      <c r="I17" s="2"/>
    </row>
    <row r="18" spans="1:9" x14ac:dyDescent="0.25">
      <c r="A18" s="2"/>
      <c r="B18" s="75" t="s">
        <v>23</v>
      </c>
      <c r="C18" s="76"/>
      <c r="D18" s="77"/>
      <c r="E18" s="12">
        <v>1811792</v>
      </c>
      <c r="F18" s="23" t="s">
        <v>4</v>
      </c>
      <c r="G18" s="15"/>
      <c r="H18" s="32"/>
      <c r="I18" s="2"/>
    </row>
    <row r="19" spans="1:9" x14ac:dyDescent="0.25">
      <c r="A19" s="2"/>
      <c r="B19" s="82" t="s">
        <v>24</v>
      </c>
      <c r="C19" s="83"/>
      <c r="D19" s="84"/>
      <c r="E19" s="18">
        <f>SUM(E16:E18)</f>
        <v>2671356</v>
      </c>
      <c r="F19" s="28" t="s">
        <v>4</v>
      </c>
      <c r="G19" s="15"/>
      <c r="H19" s="32"/>
      <c r="I19" s="2"/>
    </row>
    <row r="20" spans="1:9" ht="29.25" customHeight="1" x14ac:dyDescent="0.25">
      <c r="A20" s="2"/>
      <c r="B20" s="72" t="s">
        <v>25</v>
      </c>
      <c r="C20" s="73"/>
      <c r="D20" s="74"/>
      <c r="E20" s="12">
        <v>-3911333</v>
      </c>
      <c r="F20" s="23" t="s">
        <v>4</v>
      </c>
      <c r="G20" s="15"/>
      <c r="H20" s="32"/>
      <c r="I20" s="2"/>
    </row>
    <row r="21" spans="1:9" ht="30.75" customHeight="1" x14ac:dyDescent="0.25">
      <c r="A21" s="2"/>
      <c r="B21" s="72" t="s">
        <v>26</v>
      </c>
      <c r="C21" s="73"/>
      <c r="D21" s="74"/>
      <c r="E21" s="12">
        <v>-31346109</v>
      </c>
      <c r="F21" s="23" t="s">
        <v>4</v>
      </c>
      <c r="G21" s="15"/>
      <c r="H21" s="32"/>
      <c r="I21" s="2"/>
    </row>
    <row r="22" spans="1:9" x14ac:dyDescent="0.25">
      <c r="A22" s="2"/>
      <c r="B22" s="75" t="s">
        <v>27</v>
      </c>
      <c r="C22" s="76"/>
      <c r="D22" s="77"/>
      <c r="E22" s="12">
        <v>0</v>
      </c>
      <c r="F22" s="23" t="s">
        <v>4</v>
      </c>
      <c r="G22" s="15"/>
      <c r="H22" s="32"/>
      <c r="I22" s="2"/>
    </row>
    <row r="23" spans="1:9" x14ac:dyDescent="0.25">
      <c r="A23" s="2"/>
      <c r="B23" s="75" t="s">
        <v>28</v>
      </c>
      <c r="C23" s="76"/>
      <c r="D23" s="77"/>
      <c r="E23" s="12">
        <v>-16313</v>
      </c>
      <c r="F23" s="23" t="s">
        <v>4</v>
      </c>
      <c r="G23" s="15"/>
      <c r="H23" s="32"/>
      <c r="I23" s="2"/>
    </row>
    <row r="24" spans="1:9" ht="30" customHeight="1" x14ac:dyDescent="0.25">
      <c r="A24" s="2"/>
      <c r="B24" s="72" t="s">
        <v>29</v>
      </c>
      <c r="C24" s="73"/>
      <c r="D24" s="74"/>
      <c r="E24" s="12">
        <v>0</v>
      </c>
      <c r="F24" s="23" t="s">
        <v>4</v>
      </c>
      <c r="G24" s="15"/>
      <c r="H24" s="32"/>
      <c r="I24" s="2"/>
    </row>
    <row r="25" spans="1:9" ht="30" customHeight="1" x14ac:dyDescent="0.25">
      <c r="A25" s="2"/>
      <c r="B25" s="72" t="s">
        <v>30</v>
      </c>
      <c r="C25" s="73"/>
      <c r="D25" s="74"/>
      <c r="E25" s="12">
        <v>0</v>
      </c>
      <c r="F25" s="23" t="s">
        <v>4</v>
      </c>
      <c r="G25" s="15"/>
      <c r="H25" s="32"/>
      <c r="I25" s="2"/>
    </row>
    <row r="26" spans="1:9" ht="30" customHeight="1" x14ac:dyDescent="0.25">
      <c r="A26" s="2"/>
      <c r="B26" s="72" t="s">
        <v>31</v>
      </c>
      <c r="C26" s="73"/>
      <c r="D26" s="74"/>
      <c r="E26" s="12">
        <v>0</v>
      </c>
      <c r="F26" s="23" t="s">
        <v>4</v>
      </c>
      <c r="G26" s="15"/>
      <c r="H26" s="32"/>
      <c r="I26" s="2"/>
    </row>
    <row r="27" spans="1:9" x14ac:dyDescent="0.25">
      <c r="A27" s="2"/>
      <c r="B27" s="82" t="s">
        <v>32</v>
      </c>
      <c r="C27" s="83"/>
      <c r="D27" s="84"/>
      <c r="E27" s="18">
        <f>SUM(E20:E26)</f>
        <v>-35273755</v>
      </c>
      <c r="F27" s="28" t="s">
        <v>4</v>
      </c>
      <c r="G27" s="16"/>
      <c r="H27" s="33"/>
      <c r="I27" s="2"/>
    </row>
    <row r="28" spans="1:9" x14ac:dyDescent="0.25">
      <c r="A28" s="2"/>
      <c r="B28" s="82" t="s">
        <v>33</v>
      </c>
      <c r="C28" s="83"/>
      <c r="D28" s="84"/>
      <c r="E28" s="18">
        <f>E15+E19+E27</f>
        <v>1779539.108144775</v>
      </c>
      <c r="F28" s="28" t="s">
        <v>4</v>
      </c>
      <c r="G28" s="1">
        <f>IF(E28&lt;0,0,-E28)</f>
        <v>-1779539.108144775</v>
      </c>
      <c r="H28" s="28" t="s">
        <v>4</v>
      </c>
      <c r="I28" s="2"/>
    </row>
    <row r="29" spans="1:9" x14ac:dyDescent="0.25">
      <c r="A29" s="2"/>
      <c r="B29" s="85" t="s">
        <v>98</v>
      </c>
      <c r="C29" s="86"/>
      <c r="D29" s="86"/>
      <c r="E29" s="86"/>
      <c r="F29" s="86"/>
      <c r="G29" s="86"/>
      <c r="H29" s="87"/>
      <c r="I29" s="2"/>
    </row>
    <row r="30" spans="1:9" x14ac:dyDescent="0.25">
      <c r="A30" s="2"/>
      <c r="B30" s="82" t="s">
        <v>98</v>
      </c>
      <c r="C30" s="83"/>
      <c r="D30" s="84"/>
      <c r="E30" s="18">
        <v>2636529</v>
      </c>
      <c r="F30" s="28" t="s">
        <v>4</v>
      </c>
      <c r="G30" s="18">
        <f>-$E$30</f>
        <v>-2636529</v>
      </c>
      <c r="H30" s="28" t="s">
        <v>4</v>
      </c>
      <c r="I30" s="2"/>
    </row>
    <row r="31" spans="1:9" x14ac:dyDescent="0.25">
      <c r="A31" s="2"/>
      <c r="B31" s="101" t="s">
        <v>57</v>
      </c>
      <c r="C31" s="86"/>
      <c r="D31" s="86"/>
      <c r="E31" s="86"/>
      <c r="F31" s="86"/>
      <c r="G31" s="86"/>
      <c r="H31" s="87"/>
      <c r="I31" s="2"/>
    </row>
    <row r="32" spans="1:9" ht="30" customHeight="1" x14ac:dyDescent="0.25">
      <c r="A32" s="2"/>
      <c r="B32" s="72" t="s">
        <v>58</v>
      </c>
      <c r="C32" s="73"/>
      <c r="D32" s="74"/>
      <c r="E32" s="12">
        <v>44767985</v>
      </c>
      <c r="F32" s="23" t="s">
        <v>4</v>
      </c>
      <c r="G32" s="20"/>
      <c r="H32" s="31"/>
      <c r="I32" s="2"/>
    </row>
    <row r="33" spans="1:9" x14ac:dyDescent="0.25">
      <c r="A33" s="2"/>
      <c r="B33" s="75" t="s">
        <v>34</v>
      </c>
      <c r="C33" s="76"/>
      <c r="D33" s="77"/>
      <c r="E33" s="12">
        <v>0</v>
      </c>
      <c r="F33" s="23" t="s">
        <v>4</v>
      </c>
      <c r="G33" s="15"/>
      <c r="H33" s="32"/>
      <c r="I33" s="2"/>
    </row>
    <row r="34" spans="1:9" ht="43.5" customHeight="1" x14ac:dyDescent="0.25">
      <c r="A34" s="2"/>
      <c r="B34" s="72" t="s">
        <v>35</v>
      </c>
      <c r="C34" s="73"/>
      <c r="D34" s="74"/>
      <c r="E34" s="12">
        <v>3416939</v>
      </c>
      <c r="F34" s="23" t="s">
        <v>4</v>
      </c>
      <c r="G34" s="16"/>
      <c r="H34" s="33"/>
      <c r="I34" s="2"/>
    </row>
    <row r="35" spans="1:9" x14ac:dyDescent="0.25">
      <c r="A35" s="2"/>
      <c r="B35" s="82" t="s">
        <v>36</v>
      </c>
      <c r="C35" s="83"/>
      <c r="D35" s="84"/>
      <c r="E35" s="18">
        <f>SUM(E32:E34)</f>
        <v>48184924</v>
      </c>
      <c r="F35" s="28" t="s">
        <v>4</v>
      </c>
      <c r="G35" s="18">
        <f>-E35</f>
        <v>-48184924</v>
      </c>
      <c r="H35" s="28" t="s">
        <v>4</v>
      </c>
      <c r="I35" s="2"/>
    </row>
    <row r="36" spans="1:9" x14ac:dyDescent="0.25">
      <c r="A36" s="2"/>
      <c r="B36" s="85" t="s">
        <v>99</v>
      </c>
      <c r="C36" s="86"/>
      <c r="D36" s="86"/>
      <c r="E36" s="86"/>
      <c r="F36" s="87"/>
      <c r="G36" s="21">
        <f>$G$9+$G$28+$G$30+$G$35</f>
        <v>4102205.4563934579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128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188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78" t="s">
        <v>118</v>
      </c>
      <c r="C9" s="80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4" t="s">
        <v>189</v>
      </c>
      <c r="C10" s="105"/>
      <c r="D10" s="106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135</v>
      </c>
      <c r="C11" s="86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85" t="s">
        <v>148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85" t="s">
        <v>184</v>
      </c>
      <c r="C15" s="86"/>
      <c r="D15" s="86"/>
      <c r="E15" s="86"/>
      <c r="F15" s="86"/>
      <c r="G15" s="87"/>
      <c r="H15" s="2"/>
    </row>
    <row r="16" spans="1:8" ht="15" customHeight="1" x14ac:dyDescent="0.25">
      <c r="A16" s="2"/>
      <c r="B16" s="78" t="s">
        <v>202</v>
      </c>
      <c r="C16" s="79"/>
      <c r="D16" s="79"/>
      <c r="E16" s="80"/>
      <c r="F16" s="100" t="s">
        <v>185</v>
      </c>
      <c r="G16" s="100"/>
      <c r="H16" s="2"/>
    </row>
    <row r="17" spans="1:8" x14ac:dyDescent="0.25">
      <c r="A17" s="2"/>
      <c r="B17" s="75" t="s">
        <v>198</v>
      </c>
      <c r="C17" s="76"/>
      <c r="D17" s="76"/>
      <c r="E17" s="77"/>
      <c r="F17" s="12">
        <v>639876</v>
      </c>
      <c r="G17" s="23" t="s">
        <v>4</v>
      </c>
      <c r="H17" s="2"/>
    </row>
    <row r="18" spans="1:8" x14ac:dyDescent="0.25">
      <c r="A18" s="2"/>
      <c r="B18" s="85" t="s">
        <v>186</v>
      </c>
      <c r="C18" s="86"/>
      <c r="D18" s="86"/>
      <c r="E18" s="87"/>
      <c r="F18" s="21">
        <f>SUM(F17:F17)</f>
        <v>639876</v>
      </c>
      <c r="G18" s="22" t="s">
        <v>4</v>
      </c>
      <c r="H18" s="2"/>
    </row>
    <row r="19" spans="1:8" x14ac:dyDescent="0.25">
      <c r="A19" s="2"/>
      <c r="B19" s="85" t="s">
        <v>187</v>
      </c>
      <c r="C19" s="86"/>
      <c r="D19" s="86"/>
      <c r="E19" s="87"/>
      <c r="F19" s="21">
        <f>F18*(1+'Fane 2.1. Økonomisk ramme 2018'!E19/100)</f>
        <v>651073.83000000007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0:C10"/>
    <mergeCell ref="B3:G4"/>
    <mergeCell ref="B8:G8"/>
    <mergeCell ref="F9:G9"/>
    <mergeCell ref="B9:C9"/>
    <mergeCell ref="D9:E9"/>
    <mergeCell ref="B19:E19"/>
    <mergeCell ref="B15:G15"/>
    <mergeCell ref="F16:G16"/>
    <mergeCell ref="B12:C12"/>
    <mergeCell ref="B11:C11"/>
    <mergeCell ref="B16:E16"/>
    <mergeCell ref="B17:E17"/>
    <mergeCell ref="B18:E1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3" t="s">
        <v>120</v>
      </c>
      <c r="C3" s="93"/>
      <c r="D3" s="93"/>
      <c r="E3" s="93"/>
      <c r="F3" s="93"/>
      <c r="G3" s="93"/>
      <c r="H3" s="2"/>
    </row>
    <row r="4" spans="1:8" ht="25.5" customHeight="1" x14ac:dyDescent="0.25">
      <c r="A4" s="2"/>
      <c r="B4" s="93"/>
      <c r="C4" s="93"/>
      <c r="D4" s="93"/>
      <c r="E4" s="93"/>
      <c r="F4" s="93"/>
      <c r="G4" s="93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119</v>
      </c>
      <c r="C8" s="86"/>
      <c r="D8" s="86"/>
      <c r="E8" s="86"/>
      <c r="F8" s="86"/>
      <c r="G8" s="87"/>
      <c r="H8" s="2"/>
    </row>
    <row r="9" spans="1:8" ht="29.25" customHeight="1" x14ac:dyDescent="0.25">
      <c r="A9" s="2"/>
      <c r="B9" s="34" t="s">
        <v>121</v>
      </c>
      <c r="C9" s="35"/>
      <c r="D9" s="100" t="s">
        <v>47</v>
      </c>
      <c r="E9" s="100"/>
      <c r="F9" s="100" t="s">
        <v>129</v>
      </c>
      <c r="G9" s="100"/>
      <c r="H9" s="2"/>
    </row>
    <row r="10" spans="1:8" x14ac:dyDescent="0.25">
      <c r="A10" s="2"/>
      <c r="B10" s="107" t="s">
        <v>197</v>
      </c>
      <c r="C10" s="108"/>
      <c r="D10" s="12">
        <v>0</v>
      </c>
      <c r="E10" s="23" t="s">
        <v>4</v>
      </c>
      <c r="F10" s="12">
        <v>0</v>
      </c>
      <c r="G10" s="23" t="s">
        <v>4</v>
      </c>
      <c r="H10" s="2"/>
    </row>
    <row r="11" spans="1:8" x14ac:dyDescent="0.25">
      <c r="A11" s="2"/>
      <c r="B11" s="85" t="s">
        <v>130</v>
      </c>
      <c r="C11" s="87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85" t="s">
        <v>147</v>
      </c>
      <c r="C12" s="87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0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ht="15" customHeight="1" x14ac:dyDescent="0.25">
      <c r="A9" s="2"/>
      <c r="B9" s="72" t="s">
        <v>60</v>
      </c>
      <c r="C9" s="73"/>
      <c r="D9" s="74"/>
      <c r="E9" s="8">
        <f>'Fane 3. Korrigeret grundlag'!G12</f>
        <v>51409011.212046824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76"/>
      <c r="D10" s="77"/>
      <c r="E10" s="12">
        <f>'Fane 3. Korrigeret grundlag'!G11</f>
        <v>634936.98419683997</v>
      </c>
      <c r="F10" s="9" t="s">
        <v>4</v>
      </c>
      <c r="G10" s="13"/>
      <c r="H10" s="14"/>
      <c r="I10" s="2"/>
    </row>
    <row r="11" spans="1:9" x14ac:dyDescent="0.25">
      <c r="A11" s="2"/>
      <c r="B11" s="81" t="s">
        <v>123</v>
      </c>
      <c r="C11" s="76"/>
      <c r="D11" s="77"/>
      <c r="E11" s="12">
        <f>'Fane 4. Ikke-påvirkelige omk.'!G19</f>
        <v>-144141.501361</v>
      </c>
      <c r="F11" s="9" t="s">
        <v>4</v>
      </c>
      <c r="G11" s="13"/>
      <c r="H11" s="14"/>
      <c r="I11" s="2"/>
    </row>
    <row r="12" spans="1:9" x14ac:dyDescent="0.25">
      <c r="A12" s="2"/>
      <c r="B12" s="37" t="s">
        <v>200</v>
      </c>
      <c r="C12" s="38"/>
      <c r="D12" s="39"/>
      <c r="E12" s="12">
        <f>'Fane 5. Individuelt eff.krav'!G10</f>
        <v>-804701.58072179905</v>
      </c>
      <c r="F12" s="9" t="s">
        <v>4</v>
      </c>
      <c r="G12" s="13"/>
      <c r="H12" s="14"/>
      <c r="I12" s="2"/>
    </row>
    <row r="13" spans="1:9" x14ac:dyDescent="0.25">
      <c r="A13" s="2"/>
      <c r="B13" s="81" t="s">
        <v>180</v>
      </c>
      <c r="C13" s="88"/>
      <c r="D13" s="89"/>
      <c r="E13" s="12">
        <f>'Fane 3. Korrigeret grundlag'!G22</f>
        <v>1161954</v>
      </c>
      <c r="F13" s="9" t="s">
        <v>4</v>
      </c>
      <c r="G13" s="13"/>
      <c r="H13" s="14"/>
      <c r="I13" s="2"/>
    </row>
    <row r="14" spans="1:9" x14ac:dyDescent="0.25">
      <c r="A14" s="2"/>
      <c r="B14" s="72" t="s">
        <v>131</v>
      </c>
      <c r="C14" s="73"/>
      <c r="D14" s="74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72" t="s">
        <v>132</v>
      </c>
      <c r="C15" s="73"/>
      <c r="D15" s="74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72" t="s">
        <v>184</v>
      </c>
      <c r="C16" s="73"/>
      <c r="D16" s="74"/>
      <c r="E16" s="12">
        <f>'Fane 11. Tillæg'!F19</f>
        <v>651073.83000000007</v>
      </c>
      <c r="F16" s="9" t="s">
        <v>4</v>
      </c>
      <c r="G16" s="13"/>
      <c r="H16" s="14"/>
      <c r="I16" s="2"/>
    </row>
    <row r="17" spans="1:9" x14ac:dyDescent="0.25">
      <c r="A17" s="2"/>
      <c r="B17" s="72" t="s">
        <v>133</v>
      </c>
      <c r="C17" s="73"/>
      <c r="D17" s="74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72" t="s">
        <v>134</v>
      </c>
      <c r="C18" s="73"/>
      <c r="D18" s="74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7" t="s">
        <v>126</v>
      </c>
      <c r="C19" s="38"/>
      <c r="D19" s="39"/>
      <c r="E19" s="26">
        <v>1.75</v>
      </c>
      <c r="F19" s="9" t="s">
        <v>38</v>
      </c>
      <c r="G19" s="13"/>
      <c r="H19" s="14"/>
      <c r="I19" s="2"/>
    </row>
    <row r="20" spans="1:9" x14ac:dyDescent="0.25">
      <c r="A20" s="2"/>
      <c r="B20" s="81" t="s">
        <v>125</v>
      </c>
      <c r="C20" s="76"/>
      <c r="D20" s="77"/>
      <c r="E20" s="12">
        <f>SUM(E9,E11:E18)*(E19/100)</f>
        <v>914780.92929937062</v>
      </c>
      <c r="F20" s="9" t="s">
        <v>4</v>
      </c>
      <c r="G20" s="13"/>
      <c r="H20" s="14"/>
      <c r="I20" s="2"/>
    </row>
    <row r="21" spans="1:9" x14ac:dyDescent="0.25">
      <c r="A21" s="2"/>
      <c r="B21" s="75" t="s">
        <v>15</v>
      </c>
      <c r="C21" s="76"/>
      <c r="D21" s="77"/>
      <c r="E21" s="12">
        <f>'Fane 5. Individuelt eff.krav'!G12</f>
        <v>412566.05493903428</v>
      </c>
      <c r="F21" s="9" t="s">
        <v>4</v>
      </c>
      <c r="G21" s="15"/>
      <c r="H21" s="14"/>
      <c r="I21" s="2"/>
    </row>
    <row r="22" spans="1:9" x14ac:dyDescent="0.25">
      <c r="A22" s="2"/>
      <c r="B22" s="75" t="s">
        <v>16</v>
      </c>
      <c r="C22" s="76"/>
      <c r="D22" s="77"/>
      <c r="E22" s="12">
        <f>'Fane 6. Generelt eff.krav'!G17</f>
        <v>956611.31909939134</v>
      </c>
      <c r="F22" s="9" t="s">
        <v>4</v>
      </c>
      <c r="G22" s="16"/>
      <c r="H22" s="17"/>
      <c r="I22" s="2"/>
    </row>
    <row r="23" spans="1:9" x14ac:dyDescent="0.25">
      <c r="A23" s="2"/>
      <c r="B23" s="82" t="s">
        <v>190</v>
      </c>
      <c r="C23" s="83"/>
      <c r="D23" s="84"/>
      <c r="E23" s="18">
        <f>SUM(E9,E11:E18,E20)-SUM(E21:E22)</f>
        <v>51818799.515224971</v>
      </c>
      <c r="F23" s="19" t="s">
        <v>4</v>
      </c>
      <c r="G23" s="18">
        <f>E23</f>
        <v>51818799.515224971</v>
      </c>
      <c r="H23" s="19" t="s">
        <v>4</v>
      </c>
      <c r="I23" s="2"/>
    </row>
    <row r="24" spans="1:9" x14ac:dyDescent="0.25">
      <c r="A24" s="2"/>
      <c r="B24" s="85" t="s">
        <v>17</v>
      </c>
      <c r="C24" s="86"/>
      <c r="D24" s="86"/>
      <c r="E24" s="86"/>
      <c r="F24" s="86"/>
      <c r="G24" s="86"/>
      <c r="H24" s="87"/>
      <c r="I24" s="2"/>
    </row>
    <row r="25" spans="1:9" x14ac:dyDescent="0.25">
      <c r="A25" s="2"/>
      <c r="B25" s="78" t="s">
        <v>55</v>
      </c>
      <c r="C25" s="79"/>
      <c r="D25" s="80"/>
      <c r="E25" s="18">
        <f>'Fane 7. Hist. over el. underdæk'!G13</f>
        <v>0</v>
      </c>
      <c r="F25" s="19" t="s">
        <v>4</v>
      </c>
      <c r="G25" s="18">
        <f>E25</f>
        <v>0</v>
      </c>
      <c r="H25" s="19" t="s">
        <v>4</v>
      </c>
      <c r="I25" s="2"/>
    </row>
    <row r="26" spans="1:9" x14ac:dyDescent="0.25">
      <c r="A26" s="2"/>
      <c r="B26" s="85" t="s">
        <v>100</v>
      </c>
      <c r="C26" s="86"/>
      <c r="D26" s="86"/>
      <c r="E26" s="86"/>
      <c r="F26" s="86"/>
      <c r="G26" s="86"/>
      <c r="H26" s="87"/>
      <c r="I26" s="2"/>
    </row>
    <row r="27" spans="1:9" x14ac:dyDescent="0.25">
      <c r="A27" s="2"/>
      <c r="B27" s="72" t="s">
        <v>107</v>
      </c>
      <c r="C27" s="73"/>
      <c r="D27" s="74"/>
      <c r="E27" s="12">
        <f>'Fane 9. Korrektion af PL2016'!G11</f>
        <v>-108688</v>
      </c>
      <c r="F27" s="9" t="s">
        <v>4</v>
      </c>
      <c r="G27" s="20"/>
      <c r="H27" s="11"/>
      <c r="I27" s="2"/>
    </row>
    <row r="28" spans="1:9" x14ac:dyDescent="0.25">
      <c r="A28" s="2"/>
      <c r="B28" s="72" t="s">
        <v>101</v>
      </c>
      <c r="C28" s="73"/>
      <c r="D28" s="74"/>
      <c r="E28" s="12">
        <f>'Fane 9. Korrektion af PL2016'!G17</f>
        <v>-1518906</v>
      </c>
      <c r="F28" s="9" t="s">
        <v>4</v>
      </c>
      <c r="G28" s="15"/>
      <c r="H28" s="14"/>
      <c r="I28" s="2"/>
    </row>
    <row r="29" spans="1:9" ht="30" customHeight="1" x14ac:dyDescent="0.25">
      <c r="A29" s="2"/>
      <c r="B29" s="72" t="s">
        <v>102</v>
      </c>
      <c r="C29" s="73"/>
      <c r="D29" s="74"/>
      <c r="E29" s="12">
        <f>'Fane 9. Korrektion af PL2016'!G23</f>
        <v>2676</v>
      </c>
      <c r="F29" s="9" t="s">
        <v>4</v>
      </c>
      <c r="G29" s="13"/>
      <c r="H29" s="14"/>
      <c r="I29" s="2"/>
    </row>
    <row r="30" spans="1:9" ht="30" customHeight="1" x14ac:dyDescent="0.25">
      <c r="A30" s="2"/>
      <c r="B30" s="72" t="s">
        <v>103</v>
      </c>
      <c r="C30" s="73"/>
      <c r="D30" s="74"/>
      <c r="E30" s="12">
        <f>'Fane 9. Korrektion af PL2016'!G29</f>
        <v>0</v>
      </c>
      <c r="F30" s="9" t="s">
        <v>4</v>
      </c>
      <c r="G30" s="15"/>
      <c r="H30" s="14"/>
      <c r="I30" s="2"/>
    </row>
    <row r="31" spans="1:9" ht="28.5" customHeight="1" x14ac:dyDescent="0.25">
      <c r="A31" s="2"/>
      <c r="B31" s="72" t="s">
        <v>104</v>
      </c>
      <c r="C31" s="73"/>
      <c r="D31" s="74"/>
      <c r="E31" s="12">
        <f>'Fane 9. Korrektion af PL2016'!G35</f>
        <v>-50318.063333333004</v>
      </c>
      <c r="F31" s="9" t="s">
        <v>4</v>
      </c>
      <c r="G31" s="15"/>
      <c r="H31" s="14"/>
      <c r="I31" s="2"/>
    </row>
    <row r="32" spans="1:9" ht="28.5" customHeight="1" x14ac:dyDescent="0.25">
      <c r="A32" s="2"/>
      <c r="B32" s="72" t="s">
        <v>78</v>
      </c>
      <c r="C32" s="73"/>
      <c r="D32" s="74"/>
      <c r="E32" s="12">
        <f>'Fane 9. Korrektion af PL2016'!G41</f>
        <v>-184032.18137175986</v>
      </c>
      <c r="F32" s="9" t="s">
        <v>4</v>
      </c>
      <c r="G32" s="16"/>
      <c r="H32" s="17"/>
      <c r="I32" s="2"/>
    </row>
    <row r="33" spans="1:9" x14ac:dyDescent="0.25">
      <c r="A33" s="2"/>
      <c r="B33" s="78" t="s">
        <v>105</v>
      </c>
      <c r="C33" s="79"/>
      <c r="D33" s="80"/>
      <c r="E33" s="18">
        <f>SUM(E27:E32)</f>
        <v>-1859268.2447050929</v>
      </c>
      <c r="F33" s="19" t="s">
        <v>4</v>
      </c>
      <c r="G33" s="18">
        <f>E33</f>
        <v>-1859268.2447050929</v>
      </c>
      <c r="H33" s="19" t="s">
        <v>4</v>
      </c>
      <c r="I33" s="2"/>
    </row>
    <row r="34" spans="1:9" x14ac:dyDescent="0.25">
      <c r="A34" s="2"/>
      <c r="B34" s="85" t="s">
        <v>18</v>
      </c>
      <c r="C34" s="86"/>
      <c r="D34" s="86"/>
      <c r="E34" s="86"/>
      <c r="F34" s="86"/>
      <c r="G34" s="86"/>
      <c r="H34" s="87"/>
      <c r="I34" s="2"/>
    </row>
    <row r="35" spans="1:9" x14ac:dyDescent="0.25">
      <c r="A35" s="2"/>
      <c r="B35" s="78" t="s">
        <v>106</v>
      </c>
      <c r="C35" s="79"/>
      <c r="D35" s="80"/>
      <c r="E35" s="18">
        <f>'Fane 10. Kontrol af PL2016'!G36</f>
        <v>4102205.4563934579</v>
      </c>
      <c r="F35" s="19" t="s">
        <v>4</v>
      </c>
      <c r="G35" s="18">
        <f>E35</f>
        <v>4102205.4563934579</v>
      </c>
      <c r="H35" s="19" t="s">
        <v>4</v>
      </c>
      <c r="I35" s="2"/>
    </row>
    <row r="36" spans="1:9" x14ac:dyDescent="0.25">
      <c r="A36" s="2"/>
      <c r="B36" s="85" t="s">
        <v>62</v>
      </c>
      <c r="C36" s="86"/>
      <c r="D36" s="86"/>
      <c r="E36" s="86"/>
      <c r="F36" s="87"/>
      <c r="G36" s="21">
        <f>G23+G25+G33+G35</f>
        <v>54061736.726913333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28">
    <mergeCell ref="B8:H8"/>
    <mergeCell ref="B11:D11"/>
    <mergeCell ref="B33:D33"/>
    <mergeCell ref="B29:D29"/>
    <mergeCell ref="B36:F36"/>
    <mergeCell ref="B20:D20"/>
    <mergeCell ref="B14:D14"/>
    <mergeCell ref="B15:D15"/>
    <mergeCell ref="B17:D17"/>
    <mergeCell ref="B18:D18"/>
    <mergeCell ref="B13:D13"/>
    <mergeCell ref="B16:D16"/>
    <mergeCell ref="B3:H4"/>
    <mergeCell ref="B9:D9"/>
    <mergeCell ref="B21:D21"/>
    <mergeCell ref="B35:D35"/>
    <mergeCell ref="B22:D22"/>
    <mergeCell ref="B10:D10"/>
    <mergeCell ref="B23:D23"/>
    <mergeCell ref="B25:D25"/>
    <mergeCell ref="B28:D28"/>
    <mergeCell ref="B30:D30"/>
    <mergeCell ref="B31:D31"/>
    <mergeCell ref="B34:H34"/>
    <mergeCell ref="B32:D32"/>
    <mergeCell ref="B26:H26"/>
    <mergeCell ref="B24:H24"/>
    <mergeCell ref="B27:D2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110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56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2" t="s">
        <v>108</v>
      </c>
      <c r="C9" s="73"/>
      <c r="D9" s="74"/>
      <c r="E9" s="8">
        <f>'Fane 2.1. Økonomisk ramme 2018'!G23-'Fane 2.1. Økonomisk ramme 2018'!E13*(1+0.0175)*(1-0.02-'Fane 5. Individuelt eff.krav'!G11/100)</f>
        <v>50669532.604167879</v>
      </c>
      <c r="F9" s="9" t="s">
        <v>4</v>
      </c>
      <c r="G9" s="10"/>
      <c r="H9" s="11"/>
      <c r="I9" s="2"/>
    </row>
    <row r="10" spans="1:9" x14ac:dyDescent="0.25">
      <c r="A10" s="2"/>
      <c r="B10" s="81" t="s">
        <v>46</v>
      </c>
      <c r="C10" s="88"/>
      <c r="D10" s="89"/>
      <c r="E10" s="12">
        <f>(SUM('Fane 2.1. Økonomisk ramme 2018'!E10:E11,'Fane 2.1. Økonomisk ramme 2018'!E16))*(1+'Fane 2.1. Økonomisk ramme 2018'!E19/100)</f>
        <v>1161852.0258104673</v>
      </c>
      <c r="F10" s="9" t="s">
        <v>4</v>
      </c>
      <c r="G10" s="13"/>
      <c r="H10" s="14"/>
      <c r="I10" s="2"/>
    </row>
    <row r="11" spans="1:9" x14ac:dyDescent="0.25">
      <c r="A11" s="2"/>
      <c r="B11" s="37" t="s">
        <v>180</v>
      </c>
      <c r="C11" s="40"/>
      <c r="D11" s="41"/>
      <c r="E11" s="12">
        <v>1165010</v>
      </c>
      <c r="F11" s="9" t="s">
        <v>4</v>
      </c>
      <c r="G11" s="13"/>
      <c r="H11" s="14"/>
      <c r="I11" s="2"/>
    </row>
    <row r="12" spans="1:9" x14ac:dyDescent="0.25">
      <c r="A12" s="2"/>
      <c r="B12" s="75" t="s">
        <v>61</v>
      </c>
      <c r="C12" s="76"/>
      <c r="D12" s="77"/>
      <c r="E12" s="12">
        <f>($E$9+E11)*'Fane 2.1. Økonomisk ramme 2018'!E19/100</f>
        <v>907104.49557293789</v>
      </c>
      <c r="F12" s="9" t="s">
        <v>4</v>
      </c>
      <c r="G12" s="15"/>
      <c r="H12" s="14"/>
      <c r="I12" s="2"/>
    </row>
    <row r="13" spans="1:9" x14ac:dyDescent="0.25">
      <c r="A13" s="2"/>
      <c r="B13" s="75" t="s">
        <v>15</v>
      </c>
      <c r="C13" s="76"/>
      <c r="D13" s="77"/>
      <c r="E13" s="12">
        <f>($E$9+E11-$E$10)*(1+'Fane 2.1. Økonomisk ramme 2018'!E19/100)*'Fane 5. Individuelt eff.krav'!$G$11/100</f>
        <v>408865.43369657465</v>
      </c>
      <c r="F13" s="9" t="s">
        <v>4</v>
      </c>
      <c r="G13" s="15"/>
      <c r="H13" s="14"/>
      <c r="I13" s="2"/>
    </row>
    <row r="14" spans="1:9" x14ac:dyDescent="0.25">
      <c r="A14" s="2"/>
      <c r="B14" s="42" t="s">
        <v>16</v>
      </c>
      <c r="C14" s="38"/>
      <c r="D14" s="39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979168.97722975886</v>
      </c>
      <c r="F14" s="9" t="s">
        <v>4</v>
      </c>
      <c r="G14" s="16"/>
      <c r="H14" s="17"/>
      <c r="I14" s="2"/>
    </row>
    <row r="15" spans="1:9" x14ac:dyDescent="0.25">
      <c r="A15" s="2"/>
      <c r="B15" s="82" t="s">
        <v>190</v>
      </c>
      <c r="C15" s="83"/>
      <c r="D15" s="84"/>
      <c r="E15" s="18">
        <f>$E$9+$E$12-$E$13-$E$14+E11</f>
        <v>51353612.688814484</v>
      </c>
      <c r="F15" s="19" t="s">
        <v>4</v>
      </c>
      <c r="G15" s="18">
        <f>E15</f>
        <v>51353612.688814484</v>
      </c>
      <c r="H15" s="19" t="s">
        <v>4</v>
      </c>
      <c r="I15" s="2"/>
    </row>
    <row r="16" spans="1:9" x14ac:dyDescent="0.25">
      <c r="A16" s="2"/>
      <c r="B16" s="85" t="s">
        <v>17</v>
      </c>
      <c r="C16" s="86"/>
      <c r="D16" s="86"/>
      <c r="E16" s="86"/>
      <c r="F16" s="86"/>
      <c r="G16" s="86"/>
      <c r="H16" s="87"/>
      <c r="I16" s="2"/>
    </row>
    <row r="17" spans="1:9" ht="15" customHeight="1" x14ac:dyDescent="0.25">
      <c r="A17" s="2"/>
      <c r="B17" s="78" t="s">
        <v>55</v>
      </c>
      <c r="C17" s="79"/>
      <c r="D17" s="80"/>
      <c r="E17" s="18">
        <f>IF('Fane 7. Hist. over el. underdæk'!$G$12&gt;1,'Fane 7. Hist. over el. underdæk'!$G$13,0)</f>
        <v>0</v>
      </c>
      <c r="F17" s="19" t="s">
        <v>4</v>
      </c>
      <c r="G17" s="18">
        <f>E17</f>
        <v>0</v>
      </c>
      <c r="H17" s="19" t="s">
        <v>4</v>
      </c>
      <c r="I17" s="2"/>
    </row>
    <row r="18" spans="1:9" x14ac:dyDescent="0.25">
      <c r="A18" s="2"/>
      <c r="B18" s="85" t="s">
        <v>109</v>
      </c>
      <c r="C18" s="86"/>
      <c r="D18" s="86"/>
      <c r="E18" s="86"/>
      <c r="F18" s="87"/>
      <c r="G18" s="21">
        <f>G15+G17</f>
        <v>51353612.688814484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8:F18"/>
    <mergeCell ref="B3:H4"/>
    <mergeCell ref="B8:H8"/>
    <mergeCell ref="B9:D9"/>
    <mergeCell ref="B10:D10"/>
    <mergeCell ref="B12:D12"/>
    <mergeCell ref="B13:D13"/>
    <mergeCell ref="B15:D15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3" t="s">
        <v>141</v>
      </c>
      <c r="C3" s="93"/>
      <c r="D3" s="93"/>
      <c r="E3" s="93"/>
      <c r="F3" s="93"/>
      <c r="G3" s="93"/>
      <c r="H3" s="93"/>
      <c r="I3" s="2"/>
    </row>
    <row r="4" spans="1:9" ht="29.25" customHeight="1" x14ac:dyDescent="0.25">
      <c r="A4" s="2"/>
      <c r="B4" s="93"/>
      <c r="C4" s="93"/>
      <c r="D4" s="93"/>
      <c r="E4" s="93"/>
      <c r="F4" s="93"/>
      <c r="G4" s="93"/>
      <c r="H4" s="93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143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112</v>
      </c>
      <c r="C9" s="76"/>
      <c r="D9" s="76"/>
      <c r="E9" s="76"/>
      <c r="F9" s="77"/>
      <c r="G9" s="12">
        <v>13036459.334072666</v>
      </c>
      <c r="H9" s="23" t="s">
        <v>4</v>
      </c>
      <c r="I9" s="2"/>
    </row>
    <row r="10" spans="1:9" x14ac:dyDescent="0.25">
      <c r="A10" s="2"/>
      <c r="B10" s="75" t="s">
        <v>113</v>
      </c>
      <c r="C10" s="76"/>
      <c r="D10" s="76"/>
      <c r="E10" s="76"/>
      <c r="F10" s="77"/>
      <c r="G10" s="12">
        <v>37737614.893777318</v>
      </c>
      <c r="H10" s="23" t="s">
        <v>4</v>
      </c>
      <c r="I10" s="2"/>
    </row>
    <row r="11" spans="1:9" x14ac:dyDescent="0.25">
      <c r="A11" s="2"/>
      <c r="B11" s="75" t="s">
        <v>140</v>
      </c>
      <c r="C11" s="76"/>
      <c r="D11" s="76"/>
      <c r="E11" s="76"/>
      <c r="F11" s="77"/>
      <c r="G11" s="12">
        <v>634936.98419683997</v>
      </c>
      <c r="H11" s="23" t="s">
        <v>4</v>
      </c>
      <c r="I11" s="2"/>
    </row>
    <row r="12" spans="1:9" ht="17.25" customHeight="1" x14ac:dyDescent="0.25">
      <c r="A12" s="2"/>
      <c r="B12" s="90" t="s">
        <v>145</v>
      </c>
      <c r="C12" s="91"/>
      <c r="D12" s="91"/>
      <c r="E12" s="91"/>
      <c r="F12" s="92"/>
      <c r="G12" s="21">
        <f>SUM(G9:G11)</f>
        <v>51409011.212046824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138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139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85" t="s">
        <v>180</v>
      </c>
      <c r="C19" s="86"/>
      <c r="D19" s="86"/>
      <c r="E19" s="86"/>
      <c r="F19" s="86"/>
      <c r="G19" s="86"/>
      <c r="H19" s="87"/>
      <c r="I19" s="2"/>
    </row>
    <row r="20" spans="1:9" x14ac:dyDescent="0.25">
      <c r="A20" s="2"/>
      <c r="B20" s="75" t="s">
        <v>181</v>
      </c>
      <c r="C20" s="76"/>
      <c r="D20" s="76"/>
      <c r="E20" s="76"/>
      <c r="F20" s="77"/>
      <c r="G20" s="12">
        <v>1161954</v>
      </c>
      <c r="H20" s="23" t="s">
        <v>4</v>
      </c>
      <c r="I20" s="2"/>
    </row>
    <row r="21" spans="1:9" x14ac:dyDescent="0.25">
      <c r="A21" s="2"/>
      <c r="B21" s="75" t="s">
        <v>182</v>
      </c>
      <c r="C21" s="76"/>
      <c r="D21" s="76"/>
      <c r="E21" s="76"/>
      <c r="F21" s="77"/>
      <c r="G21" s="12">
        <v>0</v>
      </c>
      <c r="H21" s="23" t="s">
        <v>4</v>
      </c>
      <c r="I21" s="2"/>
    </row>
    <row r="22" spans="1:9" x14ac:dyDescent="0.25">
      <c r="A22" s="2"/>
      <c r="B22" s="90" t="s">
        <v>183</v>
      </c>
      <c r="C22" s="91"/>
      <c r="D22" s="91"/>
      <c r="E22" s="91"/>
      <c r="F22" s="92"/>
      <c r="G22" s="21">
        <f>SUM(G20:G21)</f>
        <v>1161954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8:H8"/>
    <mergeCell ref="B3:H4"/>
    <mergeCell ref="B11:F11"/>
    <mergeCell ref="B10:F10"/>
    <mergeCell ref="B9:F9"/>
    <mergeCell ref="B19:H19"/>
    <mergeCell ref="B20:F20"/>
    <mergeCell ref="B21:F21"/>
    <mergeCell ref="B22:F22"/>
    <mergeCell ref="B12:F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114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115</v>
      </c>
      <c r="C8" s="86"/>
      <c r="D8" s="86"/>
      <c r="E8" s="86"/>
      <c r="F8" s="86"/>
      <c r="G8" s="86"/>
      <c r="H8" s="87"/>
      <c r="I8" s="2"/>
    </row>
    <row r="9" spans="1:9" ht="51.75" customHeight="1" x14ac:dyDescent="0.25">
      <c r="A9" s="2"/>
      <c r="B9" s="78" t="s">
        <v>117</v>
      </c>
      <c r="C9" s="79"/>
      <c r="D9" s="80"/>
      <c r="E9" s="19" t="s">
        <v>116</v>
      </c>
      <c r="F9" s="19"/>
      <c r="G9" s="19" t="s">
        <v>142</v>
      </c>
      <c r="H9" s="19"/>
      <c r="I9" s="2"/>
    </row>
    <row r="10" spans="1:9" x14ac:dyDescent="0.25">
      <c r="A10" s="2"/>
      <c r="B10" s="75" t="s">
        <v>172</v>
      </c>
      <c r="C10" s="76"/>
      <c r="D10" s="76"/>
      <c r="E10" s="102">
        <v>0</v>
      </c>
      <c r="F10" s="23" t="s">
        <v>4</v>
      </c>
      <c r="G10" s="12">
        <v>0</v>
      </c>
      <c r="H10" s="23" t="s">
        <v>4</v>
      </c>
      <c r="I10" s="2"/>
    </row>
    <row r="11" spans="1:9" x14ac:dyDescent="0.25">
      <c r="A11" s="2"/>
      <c r="B11" s="75" t="s">
        <v>173</v>
      </c>
      <c r="C11" s="76"/>
      <c r="D11" s="76"/>
      <c r="E11" s="102">
        <v>122875.2928</v>
      </c>
      <c r="F11" s="23" t="s">
        <v>4</v>
      </c>
      <c r="G11" s="12">
        <v>58443</v>
      </c>
      <c r="H11" s="23" t="s">
        <v>4</v>
      </c>
      <c r="I11" s="2"/>
    </row>
    <row r="12" spans="1:9" x14ac:dyDescent="0.25">
      <c r="A12" s="2"/>
      <c r="B12" s="75" t="s">
        <v>174</v>
      </c>
      <c r="C12" s="76"/>
      <c r="D12" s="76"/>
      <c r="E12" s="102">
        <v>0</v>
      </c>
      <c r="F12" s="23" t="s">
        <v>4</v>
      </c>
      <c r="G12" s="12">
        <v>0</v>
      </c>
      <c r="H12" s="23" t="s">
        <v>4</v>
      </c>
      <c r="I12" s="2"/>
    </row>
    <row r="13" spans="1:9" x14ac:dyDescent="0.25">
      <c r="A13" s="2"/>
      <c r="B13" s="75" t="s">
        <v>175</v>
      </c>
      <c r="C13" s="76"/>
      <c r="D13" s="76"/>
      <c r="E13" s="102">
        <v>32399.4126</v>
      </c>
      <c r="F13" s="23" t="s">
        <v>4</v>
      </c>
      <c r="G13" s="12">
        <v>36337</v>
      </c>
      <c r="H13" s="23" t="s">
        <v>4</v>
      </c>
      <c r="I13" s="2"/>
    </row>
    <row r="14" spans="1:9" x14ac:dyDescent="0.25">
      <c r="A14" s="2"/>
      <c r="B14" s="75" t="s">
        <v>176</v>
      </c>
      <c r="C14" s="76"/>
      <c r="D14" s="76"/>
      <c r="E14" s="102">
        <v>0</v>
      </c>
      <c r="F14" s="23" t="s">
        <v>4</v>
      </c>
      <c r="G14" s="12">
        <v>0</v>
      </c>
      <c r="H14" s="23" t="s">
        <v>4</v>
      </c>
      <c r="I14" s="2"/>
    </row>
    <row r="15" spans="1:9" x14ac:dyDescent="0.25">
      <c r="A15" s="2"/>
      <c r="B15" s="75" t="s">
        <v>177</v>
      </c>
      <c r="C15" s="76"/>
      <c r="D15" s="76"/>
      <c r="E15" s="102">
        <v>442852.74040000001</v>
      </c>
      <c r="F15" s="23" t="s">
        <v>4</v>
      </c>
      <c r="G15" s="12">
        <v>360419</v>
      </c>
      <c r="H15" s="23" t="s">
        <v>4</v>
      </c>
      <c r="I15" s="2"/>
    </row>
    <row r="16" spans="1:9" x14ac:dyDescent="0.25">
      <c r="A16" s="2"/>
      <c r="B16" s="75" t="s">
        <v>178</v>
      </c>
      <c r="C16" s="76"/>
      <c r="D16" s="76"/>
      <c r="E16" s="102">
        <v>28846.963400000001</v>
      </c>
      <c r="F16" s="23" t="s">
        <v>4</v>
      </c>
      <c r="G16" s="12">
        <v>30113</v>
      </c>
      <c r="H16" s="23" t="s">
        <v>4</v>
      </c>
      <c r="I16" s="2"/>
    </row>
    <row r="17" spans="1:9" x14ac:dyDescent="0.25">
      <c r="A17" s="2"/>
      <c r="B17" s="75" t="s">
        <v>179</v>
      </c>
      <c r="C17" s="76"/>
      <c r="D17" s="76"/>
      <c r="E17" s="102">
        <v>0</v>
      </c>
      <c r="F17" s="23" t="s">
        <v>4</v>
      </c>
      <c r="G17" s="12">
        <v>0</v>
      </c>
      <c r="H17" s="23" t="s">
        <v>4</v>
      </c>
      <c r="I17" s="2"/>
    </row>
    <row r="18" spans="1:9" x14ac:dyDescent="0.25">
      <c r="A18" s="2"/>
      <c r="B18" s="85" t="s">
        <v>136</v>
      </c>
      <c r="C18" s="86"/>
      <c r="D18" s="86"/>
      <c r="E18" s="86"/>
      <c r="F18" s="87"/>
      <c r="G18" s="21">
        <f>SUM(G10:G17)-SUM(E10:E17)</f>
        <v>-141662.40919999999</v>
      </c>
      <c r="H18" s="22" t="s">
        <v>4</v>
      </c>
      <c r="I18" s="2"/>
    </row>
    <row r="19" spans="1:9" x14ac:dyDescent="0.25">
      <c r="A19" s="2"/>
      <c r="B19" s="85" t="s">
        <v>137</v>
      </c>
      <c r="C19" s="86"/>
      <c r="D19" s="86"/>
      <c r="E19" s="86"/>
      <c r="F19" s="87"/>
      <c r="G19" s="21">
        <f>G18*(1+'Fane 2.1. Økonomisk ramme 2018'!E19/100)</f>
        <v>-144141.501361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71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15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51</v>
      </c>
      <c r="C9" s="76"/>
      <c r="D9" s="76"/>
      <c r="E9" s="76"/>
      <c r="F9" s="77"/>
      <c r="G9" s="12">
        <f>'Fane 3. Korrigeret grundlag'!G12-'Fane 3. Korrigeret grundlag'!G11+SUM('Fane 2.1. Økonomisk ramme 2018'!E13:E15,'Fane 2.1. Økonomisk ramme 2018'!E17:E18)</f>
        <v>51936028.227849983</v>
      </c>
      <c r="H9" s="23" t="s">
        <v>4</v>
      </c>
      <c r="I9" s="2"/>
    </row>
    <row r="10" spans="1:9" x14ac:dyDescent="0.25">
      <c r="A10" s="2"/>
      <c r="B10" s="42" t="s">
        <v>200</v>
      </c>
      <c r="C10" s="38"/>
      <c r="D10" s="38"/>
      <c r="E10" s="38"/>
      <c r="F10" s="39"/>
      <c r="G10" s="12">
        <v>-804701.58072179905</v>
      </c>
      <c r="H10" s="23" t="s">
        <v>4</v>
      </c>
      <c r="I10" s="2"/>
    </row>
    <row r="11" spans="1:9" x14ac:dyDescent="0.25">
      <c r="A11" s="2"/>
      <c r="B11" s="75" t="s">
        <v>37</v>
      </c>
      <c r="C11" s="76"/>
      <c r="D11" s="76"/>
      <c r="E11" s="76"/>
      <c r="F11" s="77"/>
      <c r="G11" s="26">
        <v>0.79299785640742915</v>
      </c>
      <c r="H11" s="23" t="s">
        <v>38</v>
      </c>
      <c r="I11" s="2"/>
    </row>
    <row r="12" spans="1:9" x14ac:dyDescent="0.25">
      <c r="A12" s="2"/>
      <c r="B12" s="85" t="s">
        <v>15</v>
      </c>
      <c r="C12" s="86"/>
      <c r="D12" s="86"/>
      <c r="E12" s="86"/>
      <c r="F12" s="87"/>
      <c r="G12" s="21">
        <f>($G$9+G10)*(1+'Fane 2.1. Økonomisk ramme 2018'!E19/100)*($G$11/100)</f>
        <v>412566.05493903428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72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53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94" t="s">
        <v>47</v>
      </c>
      <c r="C9" s="95"/>
      <c r="D9" s="95"/>
      <c r="E9" s="95"/>
      <c r="F9" s="96"/>
      <c r="G9" s="12">
        <f>'Fane 3. Korrigeret grundlag'!G9+(SUM('Fane 2.1. Økonomisk ramme 2018'!E13,'Fane 2.1. Økonomisk ramme 2018'!E14,'Fane 2.1. Økonomisk ramme 2018'!E17))</f>
        <v>14198413.334072666</v>
      </c>
      <c r="H9" s="23" t="s">
        <v>4</v>
      </c>
      <c r="I9" s="2"/>
    </row>
    <row r="10" spans="1:9" x14ac:dyDescent="0.25">
      <c r="A10" s="2"/>
      <c r="B10" s="43" t="s">
        <v>199</v>
      </c>
      <c r="C10" s="44"/>
      <c r="D10" s="44"/>
      <c r="E10" s="44"/>
      <c r="F10" s="45"/>
      <c r="G10" s="12">
        <v>-283968.26</v>
      </c>
      <c r="H10" s="23" t="s">
        <v>4</v>
      </c>
      <c r="I10" s="2"/>
    </row>
    <row r="11" spans="1:9" x14ac:dyDescent="0.25">
      <c r="A11" s="2"/>
      <c r="B11" s="75" t="s">
        <v>16</v>
      </c>
      <c r="C11" s="76"/>
      <c r="D11" s="76"/>
      <c r="E11" s="76"/>
      <c r="F11" s="77"/>
      <c r="G11" s="27">
        <f>2</f>
        <v>2</v>
      </c>
      <c r="H11" s="23" t="s">
        <v>38</v>
      </c>
      <c r="I11" s="2"/>
    </row>
    <row r="12" spans="1:9" x14ac:dyDescent="0.25">
      <c r="A12" s="2"/>
      <c r="B12" s="82" t="s">
        <v>39</v>
      </c>
      <c r="C12" s="83"/>
      <c r="D12" s="83"/>
      <c r="E12" s="83"/>
      <c r="F12" s="84"/>
      <c r="G12" s="18">
        <f>($G$9+$G$10)*(1+'Fane 2.1. Økonomisk ramme 2018'!E19/100)*$G$11/100</f>
        <v>283158.95725737879</v>
      </c>
      <c r="H12" s="28" t="s">
        <v>4</v>
      </c>
      <c r="I12" s="2"/>
    </row>
    <row r="13" spans="1:9" x14ac:dyDescent="0.25">
      <c r="A13" s="2"/>
      <c r="B13" s="75" t="s">
        <v>48</v>
      </c>
      <c r="C13" s="76"/>
      <c r="D13" s="76"/>
      <c r="E13" s="76"/>
      <c r="F13" s="77"/>
      <c r="G13" s="12">
        <f>'Fane 3. Korrigeret grundlag'!G10+SUM('Fane 2.1. Økonomisk ramme 2018'!E15,'Fane 2.1. Økonomisk ramme 2018'!E18)</f>
        <v>37737614.893777318</v>
      </c>
      <c r="H13" s="23" t="s">
        <v>4</v>
      </c>
      <c r="I13" s="2"/>
    </row>
    <row r="14" spans="1:9" x14ac:dyDescent="0.25">
      <c r="A14" s="2"/>
      <c r="B14" s="42" t="s">
        <v>201</v>
      </c>
      <c r="C14" s="38"/>
      <c r="D14" s="38"/>
      <c r="E14" s="38"/>
      <c r="F14" s="39"/>
      <c r="G14" s="12">
        <v>-343849.74756415852</v>
      </c>
      <c r="H14" s="23" t="s">
        <v>4</v>
      </c>
      <c r="I14" s="2"/>
    </row>
    <row r="15" spans="1:9" x14ac:dyDescent="0.25">
      <c r="A15" s="2"/>
      <c r="B15" s="75" t="s">
        <v>16</v>
      </c>
      <c r="C15" s="76"/>
      <c r="D15" s="76"/>
      <c r="E15" s="76"/>
      <c r="F15" s="77"/>
      <c r="G15" s="26">
        <v>1.77</v>
      </c>
      <c r="H15" s="23" t="s">
        <v>38</v>
      </c>
      <c r="I15" s="2"/>
    </row>
    <row r="16" spans="1:9" x14ac:dyDescent="0.25">
      <c r="A16" s="2"/>
      <c r="B16" s="82" t="s">
        <v>40</v>
      </c>
      <c r="C16" s="83"/>
      <c r="D16" s="83"/>
      <c r="E16" s="83"/>
      <c r="F16" s="84"/>
      <c r="G16" s="18">
        <f>($G$13+$G$14)*(1+'Fane 2.1. Økonomisk ramme 2018'!E19/100)*$G$15/100</f>
        <v>673452.3618420125</v>
      </c>
      <c r="H16" s="28" t="s">
        <v>4</v>
      </c>
      <c r="I16" s="2"/>
    </row>
    <row r="17" spans="1:9" x14ac:dyDescent="0.25">
      <c r="A17" s="2"/>
      <c r="B17" s="85" t="s">
        <v>52</v>
      </c>
      <c r="C17" s="86"/>
      <c r="D17" s="86"/>
      <c r="E17" s="86"/>
      <c r="F17" s="87"/>
      <c r="G17" s="21">
        <f>G12+G16</f>
        <v>956611.31909939134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71" t="s">
        <v>73</v>
      </c>
      <c r="C3" s="71"/>
      <c r="D3" s="71"/>
      <c r="E3" s="71"/>
      <c r="F3" s="71"/>
      <c r="G3" s="71"/>
      <c r="H3" s="71"/>
      <c r="I3" s="2"/>
    </row>
    <row r="4" spans="1:9" ht="15" customHeight="1" x14ac:dyDescent="0.25">
      <c r="A4" s="2"/>
      <c r="B4" s="71"/>
      <c r="C4" s="71"/>
      <c r="D4" s="71"/>
      <c r="E4" s="71"/>
      <c r="F4" s="71"/>
      <c r="G4" s="71"/>
      <c r="H4" s="71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85" t="s">
        <v>54</v>
      </c>
      <c r="C8" s="86"/>
      <c r="D8" s="86"/>
      <c r="E8" s="86"/>
      <c r="F8" s="86"/>
      <c r="G8" s="86"/>
      <c r="H8" s="87"/>
      <c r="I8" s="2"/>
    </row>
    <row r="9" spans="1:9" x14ac:dyDescent="0.25">
      <c r="A9" s="2"/>
      <c r="B9" s="75" t="s">
        <v>42</v>
      </c>
      <c r="C9" s="76"/>
      <c r="D9" s="76"/>
      <c r="E9" s="76"/>
      <c r="F9" s="77"/>
      <c r="G9" s="12">
        <v>2950868</v>
      </c>
      <c r="H9" s="23" t="s">
        <v>4</v>
      </c>
      <c r="I9" s="2"/>
    </row>
    <row r="10" spans="1:9" x14ac:dyDescent="0.25">
      <c r="A10" s="2"/>
      <c r="B10" s="75" t="s">
        <v>122</v>
      </c>
      <c r="C10" s="76"/>
      <c r="D10" s="76"/>
      <c r="E10" s="76"/>
      <c r="F10" s="77"/>
      <c r="G10" s="12">
        <v>2950868</v>
      </c>
      <c r="H10" s="23" t="s">
        <v>4</v>
      </c>
      <c r="I10" s="2"/>
    </row>
    <row r="11" spans="1:9" x14ac:dyDescent="0.25">
      <c r="A11" s="2"/>
      <c r="B11" s="97" t="s">
        <v>45</v>
      </c>
      <c r="C11" s="98"/>
      <c r="D11" s="98"/>
      <c r="E11" s="98"/>
      <c r="F11" s="99"/>
      <c r="G11" s="36">
        <f>G9-G10</f>
        <v>0</v>
      </c>
      <c r="H11" s="29" t="s">
        <v>4</v>
      </c>
      <c r="I11" s="2"/>
    </row>
    <row r="12" spans="1:9" x14ac:dyDescent="0.25">
      <c r="A12" s="2"/>
      <c r="B12" s="75" t="s">
        <v>43</v>
      </c>
      <c r="C12" s="76"/>
      <c r="D12" s="76"/>
      <c r="E12" s="76"/>
      <c r="F12" s="77"/>
      <c r="G12" s="12">
        <v>0</v>
      </c>
      <c r="H12" s="23" t="s">
        <v>127</v>
      </c>
      <c r="I12" s="2"/>
    </row>
    <row r="13" spans="1:9" x14ac:dyDescent="0.25">
      <c r="A13" s="2"/>
      <c r="B13" s="85" t="s">
        <v>41</v>
      </c>
      <c r="C13" s="86"/>
      <c r="D13" s="86"/>
      <c r="E13" s="86"/>
      <c r="F13" s="87"/>
      <c r="G13" s="21">
        <f>IF(G12 = 0,0,G11/G12)</f>
        <v>0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82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71" t="s">
        <v>74</v>
      </c>
      <c r="C3" s="71"/>
      <c r="D3" s="71"/>
      <c r="E3" s="71"/>
      <c r="F3" s="71"/>
      <c r="G3" s="71"/>
      <c r="H3" s="2"/>
    </row>
    <row r="4" spans="1:8" ht="15" customHeight="1" x14ac:dyDescent="0.25">
      <c r="A4" s="2"/>
      <c r="B4" s="71"/>
      <c r="C4" s="71"/>
      <c r="D4" s="71"/>
      <c r="E4" s="71"/>
      <c r="F4" s="71"/>
      <c r="G4" s="71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85" t="s">
        <v>75</v>
      </c>
      <c r="C8" s="86"/>
      <c r="D8" s="86"/>
      <c r="E8" s="86"/>
      <c r="F8" s="86"/>
      <c r="G8" s="87"/>
      <c r="H8" s="2"/>
    </row>
    <row r="9" spans="1:8" ht="39" customHeight="1" x14ac:dyDescent="0.25">
      <c r="A9" s="2"/>
      <c r="B9" s="46" t="s">
        <v>0</v>
      </c>
      <c r="C9" s="19" t="s">
        <v>1</v>
      </c>
      <c r="D9" s="46" t="s">
        <v>2</v>
      </c>
      <c r="E9" s="46" t="s">
        <v>44</v>
      </c>
      <c r="F9" s="100" t="s">
        <v>3</v>
      </c>
      <c r="G9" s="100"/>
      <c r="H9" s="2"/>
    </row>
    <row r="10" spans="1:8" x14ac:dyDescent="0.25">
      <c r="A10" s="2"/>
      <c r="B10" s="103" t="s">
        <v>149</v>
      </c>
      <c r="C10" s="30">
        <v>2016</v>
      </c>
      <c r="D10" s="30">
        <v>75</v>
      </c>
      <c r="E10" s="12">
        <v>347928</v>
      </c>
      <c r="F10" s="12">
        <f>E10/D10</f>
        <v>4639.04</v>
      </c>
      <c r="G10" s="23" t="s">
        <v>4</v>
      </c>
      <c r="H10" s="2"/>
    </row>
    <row r="11" spans="1:8" ht="26.25" x14ac:dyDescent="0.25">
      <c r="A11" s="2"/>
      <c r="B11" s="103" t="s">
        <v>150</v>
      </c>
      <c r="C11" s="30">
        <v>2016</v>
      </c>
      <c r="D11" s="30">
        <v>30</v>
      </c>
      <c r="E11" s="12">
        <v>128399</v>
      </c>
      <c r="F11" s="12">
        <f t="shared" ref="F11:F77" si="0">E11/D11</f>
        <v>4279.9666666666662</v>
      </c>
      <c r="G11" s="23" t="s">
        <v>4</v>
      </c>
      <c r="H11" s="2"/>
    </row>
    <row r="12" spans="1:8" x14ac:dyDescent="0.25">
      <c r="A12" s="2"/>
      <c r="B12" s="103" t="s">
        <v>151</v>
      </c>
      <c r="C12" s="30">
        <v>2016</v>
      </c>
      <c r="D12" s="30">
        <v>75</v>
      </c>
      <c r="E12" s="12">
        <v>112114</v>
      </c>
      <c r="F12" s="12">
        <f t="shared" si="0"/>
        <v>1494.8533333333332</v>
      </c>
      <c r="G12" s="23" t="s">
        <v>4</v>
      </c>
      <c r="H12" s="2"/>
    </row>
    <row r="13" spans="1:8" x14ac:dyDescent="0.25">
      <c r="A13" s="2"/>
      <c r="B13" s="103" t="s">
        <v>152</v>
      </c>
      <c r="C13" s="30">
        <v>2016</v>
      </c>
      <c r="D13" s="30">
        <v>75</v>
      </c>
      <c r="E13" s="12">
        <v>3621521</v>
      </c>
      <c r="F13" s="12">
        <f t="shared" si="0"/>
        <v>48286.946666666663</v>
      </c>
      <c r="G13" s="23" t="s">
        <v>4</v>
      </c>
      <c r="H13" s="2"/>
    </row>
    <row r="14" spans="1:8" x14ac:dyDescent="0.25">
      <c r="A14" s="2"/>
      <c r="B14" s="103" t="s">
        <v>153</v>
      </c>
      <c r="C14" s="30">
        <v>2016</v>
      </c>
      <c r="D14" s="30">
        <v>75</v>
      </c>
      <c r="E14" s="12">
        <v>62906</v>
      </c>
      <c r="F14" s="12">
        <f t="shared" si="0"/>
        <v>838.74666666666667</v>
      </c>
      <c r="G14" s="23" t="s">
        <v>4</v>
      </c>
      <c r="H14" s="2"/>
    </row>
    <row r="15" spans="1:8" x14ac:dyDescent="0.25">
      <c r="A15" s="2"/>
      <c r="B15" s="103" t="s">
        <v>154</v>
      </c>
      <c r="C15" s="30">
        <v>2016</v>
      </c>
      <c r="D15" s="30">
        <v>75</v>
      </c>
      <c r="E15" s="12">
        <v>499098</v>
      </c>
      <c r="F15" s="12">
        <f t="shared" si="0"/>
        <v>6654.64</v>
      </c>
      <c r="G15" s="23" t="s">
        <v>4</v>
      </c>
      <c r="H15" s="2"/>
    </row>
    <row r="16" spans="1:8" x14ac:dyDescent="0.25">
      <c r="A16" s="2"/>
      <c r="B16" s="103" t="s">
        <v>155</v>
      </c>
      <c r="C16" s="30">
        <v>2016</v>
      </c>
      <c r="D16" s="30">
        <v>50</v>
      </c>
      <c r="E16" s="12">
        <v>176547</v>
      </c>
      <c r="F16" s="12">
        <f t="shared" si="0"/>
        <v>3530.94</v>
      </c>
      <c r="G16" s="23" t="s">
        <v>4</v>
      </c>
      <c r="H16" s="2"/>
    </row>
    <row r="17" spans="1:8" x14ac:dyDescent="0.25">
      <c r="A17" s="2"/>
      <c r="B17" s="103" t="s">
        <v>149</v>
      </c>
      <c r="C17" s="30">
        <v>2016</v>
      </c>
      <c r="D17" s="30">
        <v>75</v>
      </c>
      <c r="E17" s="12">
        <v>51967</v>
      </c>
      <c r="F17" s="12">
        <f t="shared" si="0"/>
        <v>692.89333333333332</v>
      </c>
      <c r="G17" s="23" t="s">
        <v>4</v>
      </c>
      <c r="H17" s="2"/>
    </row>
    <row r="18" spans="1:8" x14ac:dyDescent="0.25">
      <c r="A18" s="2"/>
      <c r="B18" s="103" t="s">
        <v>155</v>
      </c>
      <c r="C18" s="30">
        <v>2016</v>
      </c>
      <c r="D18" s="30">
        <v>50</v>
      </c>
      <c r="E18" s="12">
        <v>10034</v>
      </c>
      <c r="F18" s="12">
        <f t="shared" si="0"/>
        <v>200.68</v>
      </c>
      <c r="G18" s="23" t="s">
        <v>4</v>
      </c>
      <c r="H18" s="2"/>
    </row>
    <row r="19" spans="1:8" x14ac:dyDescent="0.25">
      <c r="A19" s="2"/>
      <c r="B19" s="103" t="s">
        <v>151</v>
      </c>
      <c r="C19" s="30">
        <v>2016</v>
      </c>
      <c r="D19" s="30">
        <v>75</v>
      </c>
      <c r="E19" s="12">
        <v>1390707</v>
      </c>
      <c r="F19" s="12">
        <f t="shared" si="0"/>
        <v>18542.759999999998</v>
      </c>
      <c r="G19" s="23" t="s">
        <v>4</v>
      </c>
      <c r="H19" s="2"/>
    </row>
    <row r="20" spans="1:8" x14ac:dyDescent="0.25">
      <c r="A20" s="2"/>
      <c r="B20" s="103" t="s">
        <v>154</v>
      </c>
      <c r="C20" s="30">
        <v>2016</v>
      </c>
      <c r="D20" s="30">
        <v>75</v>
      </c>
      <c r="E20" s="12">
        <v>40650</v>
      </c>
      <c r="F20" s="12">
        <f t="shared" si="0"/>
        <v>542</v>
      </c>
      <c r="G20" s="23" t="s">
        <v>4</v>
      </c>
      <c r="H20" s="2"/>
    </row>
    <row r="21" spans="1:8" ht="26.25" x14ac:dyDescent="0.25">
      <c r="A21" s="2"/>
      <c r="B21" s="103" t="s">
        <v>150</v>
      </c>
      <c r="C21" s="30">
        <v>2016</v>
      </c>
      <c r="D21" s="30">
        <v>30</v>
      </c>
      <c r="E21" s="12">
        <v>250219</v>
      </c>
      <c r="F21" s="12">
        <f t="shared" si="0"/>
        <v>8340.6333333333332</v>
      </c>
      <c r="G21" s="23" t="s">
        <v>4</v>
      </c>
      <c r="H21" s="2"/>
    </row>
    <row r="22" spans="1:8" x14ac:dyDescent="0.25">
      <c r="A22" s="2"/>
      <c r="B22" s="103" t="s">
        <v>156</v>
      </c>
      <c r="C22" s="30">
        <v>2016</v>
      </c>
      <c r="D22" s="30">
        <v>20</v>
      </c>
      <c r="E22" s="12">
        <v>592290</v>
      </c>
      <c r="F22" s="12">
        <f t="shared" si="0"/>
        <v>29614.5</v>
      </c>
      <c r="G22" s="23" t="s">
        <v>4</v>
      </c>
      <c r="H22" s="2"/>
    </row>
    <row r="23" spans="1:8" x14ac:dyDescent="0.25">
      <c r="A23" s="2"/>
      <c r="B23" s="103" t="s">
        <v>151</v>
      </c>
      <c r="C23" s="30">
        <v>2016</v>
      </c>
      <c r="D23" s="30">
        <v>75</v>
      </c>
      <c r="E23" s="12">
        <v>222639</v>
      </c>
      <c r="F23" s="12">
        <f t="shared" si="0"/>
        <v>2968.52</v>
      </c>
      <c r="G23" s="23" t="s">
        <v>4</v>
      </c>
      <c r="H23" s="2"/>
    </row>
    <row r="24" spans="1:8" x14ac:dyDescent="0.25">
      <c r="A24" s="2"/>
      <c r="B24" s="103" t="s">
        <v>154</v>
      </c>
      <c r="C24" s="30">
        <v>2016</v>
      </c>
      <c r="D24" s="30">
        <v>75</v>
      </c>
      <c r="E24" s="12">
        <v>18475</v>
      </c>
      <c r="F24" s="12">
        <f t="shared" si="0"/>
        <v>246.33333333333334</v>
      </c>
      <c r="G24" s="23" t="s">
        <v>4</v>
      </c>
      <c r="H24" s="2"/>
    </row>
    <row r="25" spans="1:8" x14ac:dyDescent="0.25">
      <c r="A25" s="2"/>
      <c r="B25" s="103" t="s">
        <v>151</v>
      </c>
      <c r="C25" s="30">
        <v>2016</v>
      </c>
      <c r="D25" s="30">
        <v>75</v>
      </c>
      <c r="E25" s="12">
        <v>63556</v>
      </c>
      <c r="F25" s="12">
        <f t="shared" si="0"/>
        <v>847.4133333333333</v>
      </c>
      <c r="G25" s="23" t="s">
        <v>4</v>
      </c>
      <c r="H25" s="2"/>
    </row>
    <row r="26" spans="1:8" x14ac:dyDescent="0.25">
      <c r="A26" s="2"/>
      <c r="B26" s="103" t="s">
        <v>151</v>
      </c>
      <c r="C26" s="30">
        <v>2016</v>
      </c>
      <c r="D26" s="30">
        <v>75</v>
      </c>
      <c r="E26" s="12">
        <v>6366</v>
      </c>
      <c r="F26" s="12">
        <f t="shared" si="0"/>
        <v>84.88</v>
      </c>
      <c r="G26" s="23" t="s">
        <v>4</v>
      </c>
      <c r="H26" s="2"/>
    </row>
    <row r="27" spans="1:8" x14ac:dyDescent="0.25">
      <c r="A27" s="2"/>
      <c r="B27" s="103" t="s">
        <v>151</v>
      </c>
      <c r="C27" s="30">
        <v>2016</v>
      </c>
      <c r="D27" s="30">
        <v>75</v>
      </c>
      <c r="E27" s="12">
        <v>3298196</v>
      </c>
      <c r="F27" s="12">
        <f t="shared" si="0"/>
        <v>43975.946666666663</v>
      </c>
      <c r="G27" s="23" t="s">
        <v>4</v>
      </c>
      <c r="H27" s="2"/>
    </row>
    <row r="28" spans="1:8" x14ac:dyDescent="0.25">
      <c r="A28" s="2"/>
      <c r="B28" s="103" t="s">
        <v>152</v>
      </c>
      <c r="C28" s="30">
        <v>2016</v>
      </c>
      <c r="D28" s="30">
        <v>75</v>
      </c>
      <c r="E28" s="12">
        <v>11125196</v>
      </c>
      <c r="F28" s="12">
        <f t="shared" si="0"/>
        <v>148335.94666666666</v>
      </c>
      <c r="G28" s="23" t="s">
        <v>4</v>
      </c>
      <c r="H28" s="2"/>
    </row>
    <row r="29" spans="1:8" x14ac:dyDescent="0.25">
      <c r="A29" s="2"/>
      <c r="B29" s="103" t="s">
        <v>154</v>
      </c>
      <c r="C29" s="30">
        <v>2016</v>
      </c>
      <c r="D29" s="30">
        <v>75</v>
      </c>
      <c r="E29" s="12">
        <v>689660</v>
      </c>
      <c r="F29" s="12">
        <f t="shared" si="0"/>
        <v>9195.4666666666672</v>
      </c>
      <c r="G29" s="23" t="s">
        <v>4</v>
      </c>
      <c r="H29" s="2"/>
    </row>
    <row r="30" spans="1:8" ht="26.25" x14ac:dyDescent="0.25">
      <c r="A30" s="2"/>
      <c r="B30" s="103" t="s">
        <v>150</v>
      </c>
      <c r="C30" s="30">
        <v>2016</v>
      </c>
      <c r="D30" s="30">
        <v>30</v>
      </c>
      <c r="E30" s="12">
        <v>980</v>
      </c>
      <c r="F30" s="12">
        <f t="shared" si="0"/>
        <v>32.666666666666664</v>
      </c>
      <c r="G30" s="23" t="s">
        <v>4</v>
      </c>
      <c r="H30" s="2"/>
    </row>
    <row r="31" spans="1:8" ht="26.25" x14ac:dyDescent="0.25">
      <c r="A31" s="2"/>
      <c r="B31" s="103" t="s">
        <v>150</v>
      </c>
      <c r="C31" s="30">
        <v>2016</v>
      </c>
      <c r="D31" s="30">
        <v>30</v>
      </c>
      <c r="E31" s="12">
        <v>7234</v>
      </c>
      <c r="F31" s="12">
        <f t="shared" si="0"/>
        <v>241.13333333333333</v>
      </c>
      <c r="G31" s="23" t="s">
        <v>4</v>
      </c>
      <c r="H31" s="2"/>
    </row>
    <row r="32" spans="1:8" ht="26.25" x14ac:dyDescent="0.25">
      <c r="A32" s="2"/>
      <c r="B32" s="103" t="s">
        <v>150</v>
      </c>
      <c r="C32" s="30">
        <v>2016</v>
      </c>
      <c r="D32" s="30">
        <v>30</v>
      </c>
      <c r="E32" s="12">
        <v>8670</v>
      </c>
      <c r="F32" s="12">
        <f t="shared" si="0"/>
        <v>289</v>
      </c>
      <c r="G32" s="23" t="s">
        <v>4</v>
      </c>
      <c r="H32" s="2"/>
    </row>
    <row r="33" spans="1:8" x14ac:dyDescent="0.25">
      <c r="A33" s="2"/>
      <c r="B33" s="103" t="s">
        <v>151</v>
      </c>
      <c r="C33" s="30">
        <v>2016</v>
      </c>
      <c r="D33" s="30">
        <v>75</v>
      </c>
      <c r="E33" s="12">
        <v>975</v>
      </c>
      <c r="F33" s="12">
        <f t="shared" si="0"/>
        <v>13</v>
      </c>
      <c r="G33" s="23" t="s">
        <v>4</v>
      </c>
      <c r="H33" s="2"/>
    </row>
    <row r="34" spans="1:8" ht="26.25" x14ac:dyDescent="0.25">
      <c r="A34" s="2"/>
      <c r="B34" s="103" t="s">
        <v>150</v>
      </c>
      <c r="C34" s="30">
        <v>2016</v>
      </c>
      <c r="D34" s="30">
        <v>30</v>
      </c>
      <c r="E34" s="12">
        <v>11388</v>
      </c>
      <c r="F34" s="12">
        <f t="shared" si="0"/>
        <v>379.6</v>
      </c>
      <c r="G34" s="23" t="s">
        <v>4</v>
      </c>
      <c r="H34" s="2"/>
    </row>
    <row r="35" spans="1:8" x14ac:dyDescent="0.25">
      <c r="A35" s="2"/>
      <c r="B35" s="103" t="s">
        <v>149</v>
      </c>
      <c r="C35" s="30">
        <v>2016</v>
      </c>
      <c r="D35" s="30">
        <v>75</v>
      </c>
      <c r="E35" s="12">
        <v>28722</v>
      </c>
      <c r="F35" s="12">
        <f t="shared" si="0"/>
        <v>382.96</v>
      </c>
      <c r="G35" s="23" t="s">
        <v>4</v>
      </c>
      <c r="H35" s="2"/>
    </row>
    <row r="36" spans="1:8" x14ac:dyDescent="0.25">
      <c r="A36" s="2"/>
      <c r="B36" s="103" t="s">
        <v>149</v>
      </c>
      <c r="C36" s="30">
        <v>2016</v>
      </c>
      <c r="D36" s="30">
        <v>75</v>
      </c>
      <c r="E36" s="12">
        <v>19380</v>
      </c>
      <c r="F36" s="12">
        <f t="shared" si="0"/>
        <v>258.39999999999998</v>
      </c>
      <c r="G36" s="23" t="s">
        <v>4</v>
      </c>
      <c r="H36" s="2"/>
    </row>
    <row r="37" spans="1:8" ht="26.25" x14ac:dyDescent="0.25">
      <c r="A37" s="2"/>
      <c r="B37" s="103" t="s">
        <v>150</v>
      </c>
      <c r="C37" s="30">
        <v>2016</v>
      </c>
      <c r="D37" s="30">
        <v>30</v>
      </c>
      <c r="E37" s="12">
        <v>22973</v>
      </c>
      <c r="F37" s="12">
        <f t="shared" si="0"/>
        <v>765.76666666666665</v>
      </c>
      <c r="G37" s="23" t="s">
        <v>4</v>
      </c>
      <c r="H37" s="2"/>
    </row>
    <row r="38" spans="1:8" ht="26.25" x14ac:dyDescent="0.25">
      <c r="A38" s="2"/>
      <c r="B38" s="103" t="s">
        <v>150</v>
      </c>
      <c r="C38" s="30">
        <v>2016</v>
      </c>
      <c r="D38" s="30">
        <v>30</v>
      </c>
      <c r="E38" s="12">
        <v>74545</v>
      </c>
      <c r="F38" s="12">
        <f t="shared" si="0"/>
        <v>2484.8333333333335</v>
      </c>
      <c r="G38" s="23" t="s">
        <v>4</v>
      </c>
      <c r="H38" s="2"/>
    </row>
    <row r="39" spans="1:8" ht="26.25" x14ac:dyDescent="0.25">
      <c r="A39" s="2"/>
      <c r="B39" s="103" t="s">
        <v>157</v>
      </c>
      <c r="C39" s="30">
        <v>2016</v>
      </c>
      <c r="D39" s="30">
        <v>50</v>
      </c>
      <c r="E39" s="12">
        <v>62693</v>
      </c>
      <c r="F39" s="12">
        <f t="shared" si="0"/>
        <v>1253.8599999999999</v>
      </c>
      <c r="G39" s="23" t="s">
        <v>4</v>
      </c>
      <c r="H39" s="2"/>
    </row>
    <row r="40" spans="1:8" x14ac:dyDescent="0.25">
      <c r="A40" s="2"/>
      <c r="B40" s="103" t="s">
        <v>151</v>
      </c>
      <c r="C40" s="30">
        <v>2016</v>
      </c>
      <c r="D40" s="30">
        <v>75</v>
      </c>
      <c r="E40" s="12">
        <v>392547</v>
      </c>
      <c r="F40" s="12">
        <f t="shared" si="0"/>
        <v>5233.96</v>
      </c>
      <c r="G40" s="23" t="s">
        <v>4</v>
      </c>
      <c r="H40" s="2"/>
    </row>
    <row r="41" spans="1:8" x14ac:dyDescent="0.25">
      <c r="A41" s="2"/>
      <c r="B41" s="103" t="s">
        <v>152</v>
      </c>
      <c r="C41" s="30">
        <v>2016</v>
      </c>
      <c r="D41" s="30">
        <v>75</v>
      </c>
      <c r="E41" s="12">
        <v>268230</v>
      </c>
      <c r="F41" s="12">
        <f t="shared" si="0"/>
        <v>3576.4</v>
      </c>
      <c r="G41" s="23" t="s">
        <v>4</v>
      </c>
      <c r="H41" s="2"/>
    </row>
    <row r="42" spans="1:8" x14ac:dyDescent="0.25">
      <c r="A42" s="2"/>
      <c r="B42" s="103" t="s">
        <v>153</v>
      </c>
      <c r="C42" s="30">
        <v>2016</v>
      </c>
      <c r="D42" s="30">
        <v>75</v>
      </c>
      <c r="E42" s="12">
        <v>250482</v>
      </c>
      <c r="F42" s="12">
        <f t="shared" si="0"/>
        <v>3339.76</v>
      </c>
      <c r="G42" s="23" t="s">
        <v>4</v>
      </c>
      <c r="H42" s="2"/>
    </row>
    <row r="43" spans="1:8" x14ac:dyDescent="0.25">
      <c r="A43" s="2"/>
      <c r="B43" s="103" t="s">
        <v>154</v>
      </c>
      <c r="C43" s="30">
        <v>2016</v>
      </c>
      <c r="D43" s="30">
        <v>75</v>
      </c>
      <c r="E43" s="12">
        <v>136610</v>
      </c>
      <c r="F43" s="12">
        <f t="shared" si="0"/>
        <v>1821.4666666666667</v>
      </c>
      <c r="G43" s="23" t="s">
        <v>4</v>
      </c>
      <c r="H43" s="2"/>
    </row>
    <row r="44" spans="1:8" x14ac:dyDescent="0.25">
      <c r="A44" s="2"/>
      <c r="B44" s="103" t="s">
        <v>149</v>
      </c>
      <c r="C44" s="30">
        <v>2016</v>
      </c>
      <c r="D44" s="30">
        <v>75</v>
      </c>
      <c r="E44" s="12">
        <v>149826</v>
      </c>
      <c r="F44" s="12">
        <f t="shared" si="0"/>
        <v>1997.68</v>
      </c>
      <c r="G44" s="23" t="s">
        <v>4</v>
      </c>
      <c r="H44" s="2"/>
    </row>
    <row r="45" spans="1:8" x14ac:dyDescent="0.25">
      <c r="A45" s="2"/>
      <c r="B45" s="103" t="s">
        <v>151</v>
      </c>
      <c r="C45" s="30">
        <v>2016</v>
      </c>
      <c r="D45" s="30">
        <v>75</v>
      </c>
      <c r="E45" s="12">
        <v>14248</v>
      </c>
      <c r="F45" s="12">
        <f t="shared" si="0"/>
        <v>189.97333333333333</v>
      </c>
      <c r="G45" s="23" t="s">
        <v>4</v>
      </c>
      <c r="H45" s="2"/>
    </row>
    <row r="46" spans="1:8" x14ac:dyDescent="0.25">
      <c r="A46" s="2"/>
      <c r="B46" s="103" t="s">
        <v>152</v>
      </c>
      <c r="C46" s="30">
        <v>2016</v>
      </c>
      <c r="D46" s="30">
        <v>75</v>
      </c>
      <c r="E46" s="12">
        <v>1831908</v>
      </c>
      <c r="F46" s="12">
        <f t="shared" si="0"/>
        <v>24425.439999999999</v>
      </c>
      <c r="G46" s="23" t="s">
        <v>4</v>
      </c>
      <c r="H46" s="2"/>
    </row>
    <row r="47" spans="1:8" x14ac:dyDescent="0.25">
      <c r="A47" s="2"/>
      <c r="B47" s="103" t="s">
        <v>153</v>
      </c>
      <c r="C47" s="30">
        <v>2016</v>
      </c>
      <c r="D47" s="30">
        <v>75</v>
      </c>
      <c r="E47" s="12">
        <v>3476233</v>
      </c>
      <c r="F47" s="12">
        <f t="shared" si="0"/>
        <v>46349.773333333331</v>
      </c>
      <c r="G47" s="23" t="s">
        <v>4</v>
      </c>
      <c r="H47" s="2"/>
    </row>
    <row r="48" spans="1:8" x14ac:dyDescent="0.25">
      <c r="A48" s="2"/>
      <c r="B48" s="103" t="s">
        <v>151</v>
      </c>
      <c r="C48" s="30">
        <v>2016</v>
      </c>
      <c r="D48" s="30">
        <v>75</v>
      </c>
      <c r="E48" s="12">
        <v>1625765</v>
      </c>
      <c r="F48" s="12">
        <f t="shared" si="0"/>
        <v>21676.866666666665</v>
      </c>
      <c r="G48" s="23" t="s">
        <v>4</v>
      </c>
      <c r="H48" s="2"/>
    </row>
    <row r="49" spans="1:8" x14ac:dyDescent="0.25">
      <c r="A49" s="2"/>
      <c r="B49" s="103" t="s">
        <v>154</v>
      </c>
      <c r="C49" s="30">
        <v>2016</v>
      </c>
      <c r="D49" s="30">
        <v>75</v>
      </c>
      <c r="E49" s="12">
        <v>1570503</v>
      </c>
      <c r="F49" s="12">
        <f t="shared" si="0"/>
        <v>20940.04</v>
      </c>
      <c r="G49" s="23" t="s">
        <v>4</v>
      </c>
      <c r="H49" s="2"/>
    </row>
    <row r="50" spans="1:8" x14ac:dyDescent="0.25">
      <c r="A50" s="2"/>
      <c r="B50" s="103" t="s">
        <v>149</v>
      </c>
      <c r="C50" s="30">
        <v>2016</v>
      </c>
      <c r="D50" s="30">
        <v>75</v>
      </c>
      <c r="E50" s="12">
        <v>321690</v>
      </c>
      <c r="F50" s="12">
        <f t="shared" si="0"/>
        <v>4289.2</v>
      </c>
      <c r="G50" s="23" t="s">
        <v>4</v>
      </c>
      <c r="H50" s="2"/>
    </row>
    <row r="51" spans="1:8" ht="26.25" x14ac:dyDescent="0.25">
      <c r="A51" s="2"/>
      <c r="B51" s="103" t="s">
        <v>158</v>
      </c>
      <c r="C51" s="30">
        <v>2016</v>
      </c>
      <c r="D51" s="30">
        <v>50</v>
      </c>
      <c r="E51" s="12">
        <v>1896350</v>
      </c>
      <c r="F51" s="12">
        <f t="shared" si="0"/>
        <v>37927</v>
      </c>
      <c r="G51" s="23" t="s">
        <v>4</v>
      </c>
      <c r="H51" s="2"/>
    </row>
    <row r="52" spans="1:8" ht="26.25" x14ac:dyDescent="0.25">
      <c r="A52" s="2"/>
      <c r="B52" s="103" t="s">
        <v>159</v>
      </c>
      <c r="C52" s="30">
        <v>2016</v>
      </c>
      <c r="D52" s="30">
        <v>20</v>
      </c>
      <c r="E52" s="12">
        <v>318120</v>
      </c>
      <c r="F52" s="12">
        <f t="shared" si="0"/>
        <v>15906</v>
      </c>
      <c r="G52" s="23" t="s">
        <v>4</v>
      </c>
      <c r="H52" s="2"/>
    </row>
    <row r="53" spans="1:8" ht="26.25" x14ac:dyDescent="0.25">
      <c r="A53" s="2"/>
      <c r="B53" s="103" t="s">
        <v>160</v>
      </c>
      <c r="C53" s="30">
        <v>2016</v>
      </c>
      <c r="D53" s="30">
        <v>10</v>
      </c>
      <c r="E53" s="12">
        <v>65212</v>
      </c>
      <c r="F53" s="12">
        <f t="shared" si="0"/>
        <v>6521.2</v>
      </c>
      <c r="G53" s="23" t="s">
        <v>4</v>
      </c>
      <c r="H53" s="2"/>
    </row>
    <row r="54" spans="1:8" x14ac:dyDescent="0.25">
      <c r="A54" s="2"/>
      <c r="B54" s="103" t="s">
        <v>161</v>
      </c>
      <c r="C54" s="30">
        <v>2016</v>
      </c>
      <c r="D54" s="30">
        <v>50</v>
      </c>
      <c r="E54" s="12">
        <v>2679173</v>
      </c>
      <c r="F54" s="12">
        <f t="shared" si="0"/>
        <v>53583.46</v>
      </c>
      <c r="G54" s="23" t="s">
        <v>4</v>
      </c>
      <c r="H54" s="2"/>
    </row>
    <row r="55" spans="1:8" x14ac:dyDescent="0.25">
      <c r="A55" s="2"/>
      <c r="B55" s="103" t="s">
        <v>162</v>
      </c>
      <c r="C55" s="30">
        <v>2016</v>
      </c>
      <c r="D55" s="30">
        <v>75</v>
      </c>
      <c r="E55" s="12">
        <v>846641</v>
      </c>
      <c r="F55" s="12">
        <f t="shared" si="0"/>
        <v>11288.546666666667</v>
      </c>
      <c r="G55" s="23" t="s">
        <v>4</v>
      </c>
      <c r="H55" s="2"/>
    </row>
    <row r="56" spans="1:8" x14ac:dyDescent="0.25">
      <c r="A56" s="2"/>
      <c r="B56" s="103" t="s">
        <v>151</v>
      </c>
      <c r="C56" s="30">
        <v>2016</v>
      </c>
      <c r="D56" s="30">
        <v>75</v>
      </c>
      <c r="E56" s="12">
        <v>205036</v>
      </c>
      <c r="F56" s="12">
        <f t="shared" si="0"/>
        <v>2733.8133333333335</v>
      </c>
      <c r="G56" s="23" t="s">
        <v>4</v>
      </c>
      <c r="H56" s="2"/>
    </row>
    <row r="57" spans="1:8" x14ac:dyDescent="0.25">
      <c r="A57" s="2"/>
      <c r="B57" s="103" t="s">
        <v>154</v>
      </c>
      <c r="C57" s="30">
        <v>2016</v>
      </c>
      <c r="D57" s="30">
        <v>75</v>
      </c>
      <c r="E57" s="12">
        <v>92846</v>
      </c>
      <c r="F57" s="12">
        <f t="shared" si="0"/>
        <v>1237.9466666666667</v>
      </c>
      <c r="G57" s="23" t="s">
        <v>4</v>
      </c>
      <c r="H57" s="2"/>
    </row>
    <row r="58" spans="1:8" ht="39" x14ac:dyDescent="0.25">
      <c r="A58" s="2"/>
      <c r="B58" s="103" t="s">
        <v>163</v>
      </c>
      <c r="C58" s="30">
        <v>2016</v>
      </c>
      <c r="D58" s="30">
        <v>50</v>
      </c>
      <c r="E58" s="12">
        <v>277449</v>
      </c>
      <c r="F58" s="12">
        <f t="shared" si="0"/>
        <v>5548.98</v>
      </c>
      <c r="G58" s="23" t="s">
        <v>4</v>
      </c>
      <c r="H58" s="2"/>
    </row>
    <row r="59" spans="1:8" x14ac:dyDescent="0.25">
      <c r="A59" s="2"/>
      <c r="B59" s="103" t="s">
        <v>149</v>
      </c>
      <c r="C59" s="30">
        <v>2016</v>
      </c>
      <c r="D59" s="30">
        <v>75</v>
      </c>
      <c r="E59" s="12">
        <v>32261</v>
      </c>
      <c r="F59" s="12">
        <f t="shared" si="0"/>
        <v>430.14666666666665</v>
      </c>
      <c r="G59" s="23" t="s">
        <v>4</v>
      </c>
      <c r="H59" s="2"/>
    </row>
    <row r="60" spans="1:8" x14ac:dyDescent="0.25">
      <c r="A60" s="2"/>
      <c r="B60" s="103" t="s">
        <v>149</v>
      </c>
      <c r="C60" s="30">
        <v>2016</v>
      </c>
      <c r="D60" s="30">
        <v>75</v>
      </c>
      <c r="E60" s="12">
        <v>122857</v>
      </c>
      <c r="F60" s="12">
        <f t="shared" si="0"/>
        <v>1638.0933333333332</v>
      </c>
      <c r="G60" s="23" t="s">
        <v>4</v>
      </c>
      <c r="H60" s="2"/>
    </row>
    <row r="61" spans="1:8" x14ac:dyDescent="0.25">
      <c r="A61" s="2"/>
      <c r="B61" s="103" t="s">
        <v>154</v>
      </c>
      <c r="C61" s="30">
        <v>2016</v>
      </c>
      <c r="D61" s="30">
        <v>75</v>
      </c>
      <c r="E61" s="12">
        <v>767135</v>
      </c>
      <c r="F61" s="12">
        <f t="shared" si="0"/>
        <v>10228.466666666667</v>
      </c>
      <c r="G61" s="23" t="s">
        <v>4</v>
      </c>
      <c r="H61" s="2"/>
    </row>
    <row r="62" spans="1:8" x14ac:dyDescent="0.25">
      <c r="A62" s="2"/>
      <c r="B62" s="103" t="s">
        <v>164</v>
      </c>
      <c r="C62" s="30">
        <v>2016</v>
      </c>
      <c r="D62" s="30">
        <v>20</v>
      </c>
      <c r="E62" s="12">
        <v>113413</v>
      </c>
      <c r="F62" s="12">
        <f t="shared" si="0"/>
        <v>5670.65</v>
      </c>
      <c r="G62" s="23" t="s">
        <v>4</v>
      </c>
      <c r="H62" s="2"/>
    </row>
    <row r="63" spans="1:8" x14ac:dyDescent="0.25">
      <c r="A63" s="2"/>
      <c r="B63" s="103" t="s">
        <v>165</v>
      </c>
      <c r="C63" s="30">
        <v>2016</v>
      </c>
      <c r="D63" s="30">
        <v>10</v>
      </c>
      <c r="E63" s="12">
        <v>8400</v>
      </c>
      <c r="F63" s="12">
        <f t="shared" si="0"/>
        <v>840</v>
      </c>
      <c r="G63" s="23" t="s">
        <v>4</v>
      </c>
      <c r="H63" s="2"/>
    </row>
    <row r="64" spans="1:8" x14ac:dyDescent="0.25">
      <c r="A64" s="2"/>
      <c r="B64" s="103" t="s">
        <v>166</v>
      </c>
      <c r="C64" s="30">
        <v>2016</v>
      </c>
      <c r="D64" s="30">
        <v>20</v>
      </c>
      <c r="E64" s="12">
        <v>91016</v>
      </c>
      <c r="F64" s="12">
        <f t="shared" si="0"/>
        <v>4550.8</v>
      </c>
      <c r="G64" s="23" t="s">
        <v>4</v>
      </c>
      <c r="H64" s="2"/>
    </row>
    <row r="65" spans="1:8" x14ac:dyDescent="0.25">
      <c r="A65" s="2"/>
      <c r="B65" s="103" t="s">
        <v>167</v>
      </c>
      <c r="C65" s="30">
        <v>2016</v>
      </c>
      <c r="D65" s="30">
        <v>20</v>
      </c>
      <c r="E65" s="12">
        <v>59546</v>
      </c>
      <c r="F65" s="12">
        <f t="shared" si="0"/>
        <v>2977.3</v>
      </c>
      <c r="G65" s="23" t="s">
        <v>4</v>
      </c>
      <c r="H65" s="2"/>
    </row>
    <row r="66" spans="1:8" x14ac:dyDescent="0.25">
      <c r="A66" s="2"/>
      <c r="B66" s="103" t="s">
        <v>168</v>
      </c>
      <c r="C66" s="30">
        <v>2016</v>
      </c>
      <c r="D66" s="30">
        <v>10</v>
      </c>
      <c r="E66" s="12">
        <v>12018</v>
      </c>
      <c r="F66" s="12">
        <f t="shared" si="0"/>
        <v>1201.8</v>
      </c>
      <c r="G66" s="23" t="s">
        <v>4</v>
      </c>
      <c r="H66" s="2"/>
    </row>
    <row r="67" spans="1:8" x14ac:dyDescent="0.25">
      <c r="A67" s="2"/>
      <c r="B67" s="103" t="s">
        <v>166</v>
      </c>
      <c r="C67" s="30">
        <v>2016</v>
      </c>
      <c r="D67" s="30">
        <v>20</v>
      </c>
      <c r="E67" s="12">
        <v>16618</v>
      </c>
      <c r="F67" s="12">
        <f t="shared" si="0"/>
        <v>830.9</v>
      </c>
      <c r="G67" s="23" t="s">
        <v>4</v>
      </c>
      <c r="H67" s="2"/>
    </row>
    <row r="68" spans="1:8" x14ac:dyDescent="0.25">
      <c r="A68" s="2"/>
      <c r="B68" s="103" t="s">
        <v>168</v>
      </c>
      <c r="C68" s="30">
        <v>2016</v>
      </c>
      <c r="D68" s="30">
        <v>10</v>
      </c>
      <c r="E68" s="12">
        <v>78599</v>
      </c>
      <c r="F68" s="12">
        <f t="shared" si="0"/>
        <v>7859.9</v>
      </c>
      <c r="G68" s="23" t="s">
        <v>4</v>
      </c>
      <c r="H68" s="2"/>
    </row>
    <row r="69" spans="1:8" ht="26.25" x14ac:dyDescent="0.25">
      <c r="A69" s="2"/>
      <c r="B69" s="103" t="s">
        <v>169</v>
      </c>
      <c r="C69" s="30">
        <v>2016</v>
      </c>
      <c r="D69" s="30">
        <v>20</v>
      </c>
      <c r="E69" s="12">
        <v>101348</v>
      </c>
      <c r="F69" s="12">
        <f t="shared" si="0"/>
        <v>5067.3999999999996</v>
      </c>
      <c r="G69" s="23" t="s">
        <v>4</v>
      </c>
      <c r="H69" s="2"/>
    </row>
    <row r="70" spans="1:8" x14ac:dyDescent="0.25">
      <c r="A70" s="2"/>
      <c r="B70" s="103" t="s">
        <v>170</v>
      </c>
      <c r="C70" s="30">
        <v>2016</v>
      </c>
      <c r="D70" s="30">
        <v>10</v>
      </c>
      <c r="E70" s="12">
        <v>9108</v>
      </c>
      <c r="F70" s="12">
        <f t="shared" si="0"/>
        <v>910.8</v>
      </c>
      <c r="G70" s="23" t="s">
        <v>4</v>
      </c>
      <c r="H70" s="2"/>
    </row>
    <row r="71" spans="1:8" ht="26.25" x14ac:dyDescent="0.25">
      <c r="A71" s="2"/>
      <c r="B71" s="103" t="s">
        <v>157</v>
      </c>
      <c r="C71" s="30">
        <v>2016</v>
      </c>
      <c r="D71" s="30">
        <v>50</v>
      </c>
      <c r="E71" s="12">
        <v>42663</v>
      </c>
      <c r="F71" s="12">
        <f t="shared" si="0"/>
        <v>853.26</v>
      </c>
      <c r="G71" s="23" t="s">
        <v>4</v>
      </c>
      <c r="H71" s="2"/>
    </row>
    <row r="72" spans="1:8" x14ac:dyDescent="0.25">
      <c r="A72" s="2"/>
      <c r="B72" s="103" t="s">
        <v>171</v>
      </c>
      <c r="C72" s="30">
        <v>2016</v>
      </c>
      <c r="D72" s="30">
        <v>10</v>
      </c>
      <c r="E72" s="12">
        <v>43828</v>
      </c>
      <c r="F72" s="12">
        <f t="shared" si="0"/>
        <v>4382.8</v>
      </c>
      <c r="G72" s="23" t="s">
        <v>4</v>
      </c>
      <c r="H72" s="2"/>
    </row>
    <row r="73" spans="1:8" x14ac:dyDescent="0.25">
      <c r="A73" s="2"/>
      <c r="B73" s="103" t="s">
        <v>156</v>
      </c>
      <c r="C73" s="30">
        <v>2016</v>
      </c>
      <c r="D73" s="30">
        <v>20</v>
      </c>
      <c r="E73" s="12">
        <v>484465</v>
      </c>
      <c r="F73" s="12">
        <f t="shared" si="0"/>
        <v>24223.25</v>
      </c>
      <c r="G73" s="23" t="s">
        <v>4</v>
      </c>
      <c r="H73" s="2"/>
    </row>
    <row r="74" spans="1:8" ht="26.25" x14ac:dyDescent="0.25">
      <c r="A74" s="2"/>
      <c r="B74" s="103" t="s">
        <v>159</v>
      </c>
      <c r="C74" s="30">
        <v>2016</v>
      </c>
      <c r="D74" s="30">
        <v>20</v>
      </c>
      <c r="E74" s="12">
        <v>348927</v>
      </c>
      <c r="F74" s="12">
        <f t="shared" si="0"/>
        <v>17446.349999999999</v>
      </c>
      <c r="G74" s="23" t="s">
        <v>4</v>
      </c>
      <c r="H74" s="2"/>
    </row>
    <row r="75" spans="1:8" ht="26.25" x14ac:dyDescent="0.25">
      <c r="A75" s="2"/>
      <c r="B75" s="103" t="s">
        <v>158</v>
      </c>
      <c r="C75" s="30">
        <v>2016</v>
      </c>
      <c r="D75" s="30">
        <v>50</v>
      </c>
      <c r="E75" s="12">
        <v>29230</v>
      </c>
      <c r="F75" s="12">
        <f t="shared" si="0"/>
        <v>584.6</v>
      </c>
      <c r="G75" s="23" t="s">
        <v>4</v>
      </c>
      <c r="H75" s="2"/>
    </row>
    <row r="76" spans="1:8" x14ac:dyDescent="0.25">
      <c r="A76" s="2"/>
      <c r="B76" s="103" t="s">
        <v>151</v>
      </c>
      <c r="C76" s="30">
        <v>2016</v>
      </c>
      <c r="D76" s="30">
        <v>75</v>
      </c>
      <c r="E76" s="12">
        <v>102007</v>
      </c>
      <c r="F76" s="12">
        <f t="shared" si="0"/>
        <v>1360.0933333333332</v>
      </c>
      <c r="G76" s="23" t="s">
        <v>4</v>
      </c>
      <c r="H76" s="2"/>
    </row>
    <row r="77" spans="1:8" x14ac:dyDescent="0.25">
      <c r="A77" s="2"/>
      <c r="B77" s="103" t="s">
        <v>151</v>
      </c>
      <c r="C77" s="30">
        <v>2016</v>
      </c>
      <c r="D77" s="30">
        <v>75</v>
      </c>
      <c r="E77" s="12">
        <v>32262</v>
      </c>
      <c r="F77" s="12">
        <f t="shared" si="0"/>
        <v>430.16</v>
      </c>
      <c r="G77" s="23" t="s">
        <v>4</v>
      </c>
      <c r="H77" s="2"/>
    </row>
    <row r="78" spans="1:8" x14ac:dyDescent="0.25">
      <c r="A78" s="2"/>
      <c r="B78" s="85" t="s">
        <v>76</v>
      </c>
      <c r="C78" s="86"/>
      <c r="D78" s="86"/>
      <c r="E78" s="87"/>
      <c r="F78" s="21">
        <f>SUM(F10:F77)</f>
        <v>699488.60333333362</v>
      </c>
      <c r="G78" s="22" t="s">
        <v>4</v>
      </c>
      <c r="H78" s="2"/>
    </row>
    <row r="79" spans="1:8" x14ac:dyDescent="0.25">
      <c r="A79" s="2"/>
      <c r="B79" s="2"/>
      <c r="C79" s="2"/>
      <c r="D79" s="2"/>
      <c r="E79" s="2"/>
      <c r="F79" s="2"/>
      <c r="G79" s="2"/>
      <c r="H79" s="2"/>
    </row>
    <row r="80" spans="1:8" x14ac:dyDescent="0.25">
      <c r="A80" s="2"/>
      <c r="B80" s="2"/>
      <c r="C80" s="2"/>
      <c r="D80" s="2"/>
      <c r="E80" s="2"/>
      <c r="F80" s="2"/>
      <c r="G80" s="2"/>
      <c r="H80" s="2"/>
    </row>
    <row r="81" spans="1:8" x14ac:dyDescent="0.25">
      <c r="A81" s="2"/>
      <c r="B81" s="2"/>
      <c r="C81" s="2"/>
      <c r="D81" s="2"/>
      <c r="E81" s="2"/>
      <c r="F81" s="2"/>
      <c r="G81" s="2"/>
      <c r="H81" s="2"/>
    </row>
    <row r="82" spans="1:8" x14ac:dyDescent="0.25">
      <c r="A82" s="2"/>
      <c r="B82" s="2"/>
      <c r="C82" s="2"/>
      <c r="D82" s="2"/>
      <c r="E82" s="2"/>
      <c r="F82" s="2"/>
      <c r="G82" s="2"/>
      <c r="H82" s="2"/>
    </row>
  </sheetData>
  <sheetProtection password="DFE9" sheet="1" objects="1" scenarios="1"/>
  <mergeCells count="4">
    <mergeCell ref="B78:E78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13</vt:i4>
      </vt:variant>
    </vt:vector>
  </HeadingPairs>
  <TitlesOfParts>
    <vt:vector size="13" baseType="lpstr">
      <vt:lpstr>1. Forside</vt:lpstr>
      <vt:lpstr>Fane 2.1. Økonomisk ramme 2018</vt:lpstr>
      <vt:lpstr>Fane 2.2. Økonomisk ramme 2019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Morten Søndergaard</cp:lastModifiedBy>
  <cp:lastPrinted>2016-06-14T12:57:30Z</cp:lastPrinted>
  <dcterms:created xsi:type="dcterms:W3CDTF">2016-06-02T08:51:18Z</dcterms:created>
  <dcterms:modified xsi:type="dcterms:W3CDTF">2018-08-13T09:57:36Z</dcterms:modified>
</cp:coreProperties>
</file>