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G4" i="16" l="1"/>
  <c r="J3" i="16" l="1"/>
  <c r="F3" i="17"/>
  <c r="G3" i="17"/>
  <c r="E4" i="16" l="1"/>
  <c r="F4" i="16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6" i="16"/>
  <c r="G5" i="16"/>
  <c r="G5" i="17"/>
  <c r="F4" i="17"/>
  <c r="E5" i="17"/>
  <c r="G4" i="17"/>
  <c r="E4" i="17"/>
  <c r="F5" i="17"/>
  <c r="E5" i="16"/>
  <c r="H3" i="16" s="1"/>
  <c r="J3" i="24"/>
  <c r="E6" i="16"/>
  <c r="F5" i="16"/>
  <c r="I3" i="16" s="1"/>
  <c r="F6" i="16"/>
  <c r="M3" i="24" l="1"/>
  <c r="B9" i="12" s="1"/>
  <c r="B10" i="12" s="1"/>
  <c r="H3" i="17"/>
  <c r="B4" i="12" s="1"/>
  <c r="I2" i="15"/>
  <c r="K2" i="15" s="1"/>
  <c r="B2" i="12" s="1"/>
  <c r="K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<sst xmlns="http://schemas.openxmlformats.org/spreadsheetml/2006/main" count="120" uniqueCount="81">
  <si>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</si>
  <si>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</si>
  <si>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</si>
  <si>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</si>
  <si>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</si>
  <si>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</si>
  <si>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</si>
  <si>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</si>
  <si>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</si>
  <si>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</si>
  <si>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</si>
  <si>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</si>
  <si>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</si>
  <si>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</si>
  <si>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</si>
  <si>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</si>
  <si>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</si>
  <si>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</si>
  <si>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</si>
  <si>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</si>
  <si>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</si>
  <si>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</si>
  <si>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Drift af luftrenseanlæg</t>
  </si>
  <si>
    <t>Sporstofundersøgelse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</si>
  <si>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</si>
  <si>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</si>
  <si>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</si>
  <si>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</si>
  <si>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</si>
  <si>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</si>
  <si>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</si>
  <si>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</si>
  <si>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</si>
  <si>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</si>
  <si>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</si>
  <si>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</si>
  <si>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</si>
  <si>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</si>
  <si>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</si>
  <si>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</si>
  <si>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</si>
  <si>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</si>
  <si>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</si>
  <si>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</si>
  <si>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</si>
  <si>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</si>
  <si>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</si>
  <si>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</si>
  <si>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</si>
  <si>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</si>
  <si>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Bassinanlæg (drift)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</si>
  <si>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</si>
  <si>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</si>
  <si>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</si>
  <si>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</si>
  <si>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</si>
  <si>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</si>
  <si>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</si>
  <si>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</si>
  <si>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</si>
  <si>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</si>
  <si>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</si>
  <si>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</si>
  <si>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</si>
  <si>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</si>
  <si>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</si>
  <si>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</si>
  <si>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</si>
  <si>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</si>
  <si>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</si>
  <si>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</si>
  <si>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</si>
  <si>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</si>
  <si>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</si>
  <si>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</si>
  <si>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Kastrup Strandpart</t>
  </si>
  <si>
    <t>Amager landevej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</si>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</sst>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21672249.856043998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542489.50357733329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166174.80319999997</v>
      </c>
      <c r="C4" t="s">
        <v>11</v>
      </c>
    </row>
    <row r="5" spans="1:3" s="26" customFormat="1" x14ac:dyDescent="0.25">
      <c r="A5" s="3" t="s">
        <v>12</v>
      </c>
      <c r="B5" s="48">
        <f>SUM(B2:B4)</f>
        <v>22380914.16282133</v>
      </c>
      <c r="C5" s="62" t="s">
        <v>11</v>
      </c>
    </row>
    <row r="6" spans="1:3" x14ac:dyDescent="0.25">
      <c r="A6" s="47" t="s">
        <v>0</v>
      </c>
      <c r="B6" s="38">
        <f>Investeringer!E3</f>
        <v>18645931.612380382</v>
      </c>
      <c r="C6" s="23" t="s">
        <v>11</v>
      </c>
    </row>
    <row r="7" spans="1:3" x14ac:dyDescent="0.25">
      <c r="A7" s="4" t="s">
        <v>1</v>
      </c>
      <c r="B7" s="35">
        <f>Investeringer!F3</f>
        <v>6714155.1085086158</v>
      </c>
      <c r="C7" t="s">
        <v>11</v>
      </c>
    </row>
    <row r="8" spans="1:3" x14ac:dyDescent="0.25">
      <c r="A8" s="4" t="s">
        <v>2</v>
      </c>
      <c r="B8" s="35">
        <f>Investeringer!G3</f>
        <v>1083803.5836177473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3062203</v>
      </c>
      <c r="C9" t="s">
        <v>11</v>
      </c>
    </row>
    <row r="10" spans="1:3" s="22" customFormat="1" x14ac:dyDescent="0.25">
      <c r="A10" s="3" t="s">
        <v>48</v>
      </c>
      <c r="B10" s="48">
        <f>SUM(B6:B9)</f>
        <v>29506093.304506745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1139691</v>
      </c>
      <c r="C11" t="s">
        <v>11</v>
      </c>
    </row>
    <row r="12" spans="1:3" s="22" customFormat="1" x14ac:dyDescent="0.25">
      <c r="A12" s="4" t="s">
        <v>51</v>
      </c>
      <c r="B12" s="35">
        <f>SUM(Medfinansiering!B:B)</f>
        <v>2145869</v>
      </c>
      <c r="C12" s="22" t="s">
        <v>11</v>
      </c>
    </row>
    <row r="13" spans="1:3" s="22" customFormat="1" x14ac:dyDescent="0.25">
      <c r="A13" s="3" t="s">
        <v>72</v>
      </c>
      <c r="B13" s="48">
        <f>SUM(B11:B12)</f>
        <v>3285560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62</v>
      </c>
      <c r="B15" s="37">
        <f>SUM(B5,B10,B13)</f>
        <v>55172567.467328072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54</v>
      </c>
      <c r="B17" s="37">
        <f>B15*Pristalsregulering!C8*Pristalsregulering!C9</f>
        <v>55660940.689681314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63</v>
      </c>
      <c r="D1" s="59" t="s">
        <v>64</v>
      </c>
      <c r="E1" s="59" t="s">
        <v>55</v>
      </c>
      <c r="F1" s="52" t="s">
        <v>65</v>
      </c>
      <c r="G1" s="52" t="s">
        <v>73</v>
      </c>
      <c r="H1" s="52" t="s">
        <v>66</v>
      </c>
      <c r="I1" s="52" t="s">
        <v>49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49">
        <v>19164081</v>
      </c>
      <c r="C2" s="49">
        <v>825</v>
      </c>
      <c r="D2" s="49">
        <f>B2+C2</f>
        <v>19164906</v>
      </c>
      <c r="E2" s="50">
        <f>D2</f>
        <v>19164906</v>
      </c>
      <c r="F2" s="49">
        <v>23320098.537849735</v>
      </c>
      <c r="G2" s="49">
        <v>0</v>
      </c>
      <c r="H2" s="49">
        <f>F2-G2</f>
        <v>23320098.537849735</v>
      </c>
      <c r="I2" s="49">
        <f>AVERAGEIF(E2:E4,"&lt;&gt;0")</f>
        <v>21672249.856043998</v>
      </c>
      <c r="J2" s="49">
        <v>19483354.761144683</v>
      </c>
      <c r="K2" s="39">
        <f>IF(H2&gt;I2,IF(I2&gt;J2,I2,J2),H2)</f>
        <v>21672249.856043998</v>
      </c>
    </row>
    <row r="3" spans="1:11" s="23" customFormat="1" x14ac:dyDescent="0.25">
      <c r="A3" s="28">
        <v>2014</v>
      </c>
      <c r="B3" s="49">
        <v>22749356</v>
      </c>
      <c r="C3" s="49"/>
      <c r="D3" s="49">
        <f t="shared" ref="D3:D4" si="0">B3+C3</f>
        <v>22749356</v>
      </c>
      <c r="E3" s="50">
        <f>D3*Pristalsregulering!C7</f>
        <v>22767555.4848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22724961</v>
      </c>
      <c r="C4" s="49"/>
      <c r="D4" s="49">
        <f t="shared" si="0"/>
        <v>22724961</v>
      </c>
      <c r="E4" s="50">
        <f>D4*Pristalsregulering!$C$6*Pristalsregulering!$C$7</f>
        <v>23084288.083331998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22" customWidth="1"/>
    <col min="5" max="5" width="30.7109375" style="55" customWidth="1"/>
    <col min="6" max="6" width="30.7109375" customWidth="1"/>
    <col min="7" max="7" width="30.7109375" style="22" customWidth="1"/>
    <col min="8" max="8" width="30.7109375" style="55" customWidth="1"/>
    <col min="9" max="9" width="30.7109375" customWidth="1"/>
    <col min="10" max="10" width="30.7109375" style="22" customWidth="1"/>
    <col min="11" max="11" width="30.7109375" style="55" customWidth="1"/>
    <col min="12" max="12" width="9.140625" hidden="1" customWidth="1"/>
    <col min="13" max="18" width="0" hidden="1" customWidth="1"/>
    <col min="19" max="19" width="9.140625" hidden="1" customWidth="1"/>
    <col min="20" max="43" width="0" hidden="1" customWidth="1"/>
    <col min="44" max="44" width="9.140625" hidden="1" customWidth="1"/>
    <col min="45" max="50" width="0" hidden="1" customWidth="1"/>
    <col min="51" max="52" width="9.140625" hidden="1" customWidth="1"/>
    <col min="53" max="58" width="0" hidden="1" customWidth="1"/>
    <col min="59" max="59" width="9.140625" hidden="1" customWidth="1"/>
    <col min="60" max="81" width="0" hidden="1" customWidth="1"/>
    <col min="82" max="82" width="9.140625" hidden="1" customWidth="1"/>
    <col min="83" max="88" width="0" hidden="1" customWidth="1"/>
    <col min="89" max="89" width="9.140625" hidden="1" customWidth="1"/>
    <col min="90" max="113" width="0" hidden="1" customWidth="1"/>
    <col min="114" max="114" width="9.140625" hidden="1" customWidth="1"/>
    <col min="115" max="120" width="0" hidden="1" customWidth="1"/>
    <col min="121" max="122" width="9.140625" hidden="1" customWidth="1"/>
    <col min="123" max="128" width="0" hidden="1" customWidth="1"/>
    <col min="129" max="129" width="9.140625" hidden="1" customWidth="1"/>
    <col min="130" max="145" width="0" hidden="1" customWidth="1"/>
    <col min="146" max="146" width="9.140625" hidden="1" customWidth="1"/>
    <col min="147" max="152" width="0" hidden="1" customWidth="1"/>
    <col min="153" max="154" width="9.140625" hidden="1" customWidth="1"/>
    <col min="155" max="160" width="0" hidden="1" customWidth="1"/>
    <col min="161" max="162" width="9.140625" hidden="1" customWidth="1"/>
    <col min="163" max="168" width="0" hidden="1" customWidth="1"/>
    <col min="169" max="169" width="9.140625" hidden="1" customWidth="1"/>
    <col min="170" max="183" width="0" hidden="1" customWidth="1"/>
    <col min="184" max="184" width="9.140625" hidden="1" customWidth="1"/>
    <col min="185" max="190" width="0" hidden="1" customWidth="1"/>
    <col min="191" max="192" width="9.140625" hidden="1" customWidth="1"/>
    <col min="193" max="198" width="0" hidden="1" customWidth="1"/>
    <col min="199" max="199" width="9.140625" hidden="1" customWidth="1"/>
    <col min="200" max="215" width="0" hidden="1" customWidth="1"/>
    <col min="216" max="216" width="9.140625" hidden="1" customWidth="1"/>
    <col min="217" max="222" width="0" hidden="1" customWidth="1"/>
    <col min="223" max="224" width="9.140625" hidden="1" customWidth="1"/>
    <col min="225" max="230" width="0" hidden="1" customWidth="1"/>
    <col min="231" max="232" width="9.140625" hidden="1" customWidth="1"/>
    <col min="233" max="238" width="0" hidden="1" customWidth="1"/>
    <col min="239" max="239" width="9.140625" hidden="1" customWidth="1"/>
    <col min="240" max="247" width="0" hidden="1" customWidth="1"/>
    <col min="248" max="248" width="9.140625" hidden="1" customWidth="1"/>
    <col min="249" max="254" width="0" hidden="1" customWidth="1"/>
    <col min="255" max="256" width="9.140625" hidden="1" customWidth="1"/>
    <col min="257" max="262" width="0" hidden="1" customWidth="1"/>
    <col min="263" max="264" width="9.140625" hidden="1" customWidth="1"/>
    <col min="265" max="270" width="0" hidden="1" customWidth="1"/>
    <col min="271" max="272" width="9.140625" hidden="1" customWidth="1"/>
    <col min="273" max="278" width="0" hidden="1" customWidth="1"/>
    <col min="279" max="279" width="9.140625" hidden="1" customWidth="1"/>
    <col min="280" max="285" width="0" hidden="1" customWidth="1"/>
    <col min="286" max="287" width="9.140625" hidden="1" customWidth="1"/>
    <col min="288" max="293" width="0" hidden="1" customWidth="1"/>
    <col min="294" max="295" width="9.140625" hidden="1" customWidth="1"/>
    <col min="296" max="301" width="0" hidden="1" customWidth="1"/>
    <col min="302" max="302" width="9.140625" hidden="1" customWidth="1"/>
    <col min="303" max="310" width="0" hidden="1" customWidth="1"/>
    <col min="311" max="311" width="9.140625" hidden="1" customWidth="1"/>
    <col min="312" max="317" width="0" hidden="1" customWidth="1"/>
    <col min="318" max="319" width="9.140625" hidden="1" customWidth="1"/>
    <col min="320" max="325" width="0" hidden="1" customWidth="1"/>
    <col min="326" max="327" width="9.140625" hidden="1" customWidth="1"/>
    <col min="328" max="333" width="0" hidden="1" customWidth="1"/>
    <col min="334" max="335" width="9.140625" hidden="1" customWidth="1"/>
    <col min="336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77</v>
      </c>
      <c r="C1" s="33"/>
      <c r="D1" s="33"/>
      <c r="E1" s="65" t="s">
        <v>78</v>
      </c>
      <c r="F1" s="10"/>
      <c r="G1" s="10"/>
      <c r="H1" s="65" t="s">
        <v>79</v>
      </c>
      <c r="I1" s="10"/>
      <c r="J1" s="10"/>
      <c r="K1" s="65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50</v>
      </c>
      <c r="E2" s="56" t="s">
        <v>22</v>
      </c>
      <c r="F2" s="34" t="s">
        <v>23</v>
      </c>
      <c r="G2" s="34" t="s">
        <v>50</v>
      </c>
      <c r="H2" s="56" t="s">
        <v>22</v>
      </c>
      <c r="I2" s="34" t="s">
        <v>23</v>
      </c>
      <c r="J2" s="34" t="s">
        <v>50</v>
      </c>
      <c r="K2" s="53" t="s">
        <v>24</v>
      </c>
    </row>
    <row r="3" spans="1:11" s="22" customFormat="1" x14ac:dyDescent="0.25">
      <c r="A3" s="28">
        <v>2016</v>
      </c>
      <c r="B3" s="74">
        <v>0</v>
      </c>
      <c r="C3" s="74">
        <v>0</v>
      </c>
      <c r="D3" s="74">
        <v>0</v>
      </c>
      <c r="E3" s="45">
        <f>B3/Pristalsregulering!$C$8</f>
        <v>0</v>
      </c>
      <c r="F3" s="35">
        <f>C3/Pristalsregulering!$C$8</f>
        <v>0</v>
      </c>
      <c r="G3" s="35">
        <f>D3/Pristalsregulering!$C$8</f>
        <v>0</v>
      </c>
      <c r="H3" s="45">
        <f>IF(E4=0,0,AVERAGEIF(E4:E6,"&lt;&gt;0"))+E3</f>
        <v>221137.38357733333</v>
      </c>
      <c r="I3" s="38">
        <f>IF(F4=0,0,AVERAGEIF(F4:F6,"&lt;&gt;0"))+F3</f>
        <v>321352.12</v>
      </c>
      <c r="J3" s="38">
        <f>IF(G4=0,0,AVERAGEIF(G4:G6,"&lt;&gt;0"))+G3</f>
        <v>0</v>
      </c>
      <c r="K3" s="57">
        <f>SUM(H3:J3)</f>
        <v>542489.50357733329</v>
      </c>
    </row>
    <row r="4" spans="1:11" x14ac:dyDescent="0.25">
      <c r="A4" s="28">
        <v>2015</v>
      </c>
      <c r="B4" s="35">
        <v>269365</v>
      </c>
      <c r="C4" s="35">
        <v>115733</v>
      </c>
      <c r="D4" s="35"/>
      <c r="E4" s="45">
        <f t="shared" ref="E4:G4" si="0">B4</f>
        <v>269365</v>
      </c>
      <c r="F4" s="35">
        <f t="shared" si="0"/>
        <v>115733</v>
      </c>
      <c r="G4" s="35">
        <f t="shared" si="0"/>
        <v>0</v>
      </c>
      <c r="H4" s="45"/>
      <c r="I4" s="38"/>
      <c r="J4" s="38"/>
      <c r="K4" s="54"/>
    </row>
    <row r="5" spans="1:11" x14ac:dyDescent="0.25">
      <c r="A5" s="28">
        <v>2014</v>
      </c>
      <c r="B5" s="35">
        <v>197623</v>
      </c>
      <c r="C5" s="35">
        <v>526550</v>
      </c>
      <c r="D5" s="35"/>
      <c r="E5" s="45">
        <f>B5*Pristalsregulering!$C$7</f>
        <v>197781.09839999999</v>
      </c>
      <c r="F5" s="35">
        <f>C5*Pristalsregulering!$C$7</f>
        <v>526971.24</v>
      </c>
      <c r="G5" s="35">
        <f>D5*Pristalsregulering!$C$7</f>
        <v>0</v>
      </c>
      <c r="H5" s="45"/>
      <c r="I5" s="35"/>
      <c r="J5" s="38"/>
      <c r="K5" s="45"/>
    </row>
    <row r="6" spans="1:11" x14ac:dyDescent="0.25">
      <c r="A6" s="28">
        <v>2013</v>
      </c>
      <c r="B6" s="35">
        <v>193211</v>
      </c>
      <c r="C6" s="35"/>
      <c r="D6" s="35"/>
      <c r="E6" s="45">
        <f>B6*Pristalsregulering!$C$7*Pristalsregulering!$C$6</f>
        <v>196266.05233199996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8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25</v>
      </c>
      <c r="C1" s="76"/>
      <c r="D1" s="76"/>
      <c r="E1" s="77" t="s">
        <v>56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52500</v>
      </c>
      <c r="C3" s="42">
        <v>155280</v>
      </c>
      <c r="D3" s="42">
        <v>0</v>
      </c>
      <c r="E3" s="41">
        <f>B3</f>
        <v>52500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166174.80319999997</v>
      </c>
    </row>
    <row r="4" spans="1:8" x14ac:dyDescent="0.25">
      <c r="A4" s="31">
        <v>2014</v>
      </c>
      <c r="B4" s="41">
        <v>30000</v>
      </c>
      <c r="C4" s="42">
        <v>117600</v>
      </c>
      <c r="D4" s="42">
        <v>0</v>
      </c>
      <c r="E4" s="41">
        <f>B4*Pristalsregulering!$C$7</f>
        <v>30023.999999999996</v>
      </c>
      <c r="F4" s="42">
        <f>C4*Pristalsregulering!$C$7</f>
        <v>117694.07999999999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28000</v>
      </c>
      <c r="C5" s="42">
        <v>112800</v>
      </c>
      <c r="D5" s="42">
        <v>0</v>
      </c>
      <c r="E5" s="41">
        <f>B5*Pristalsregulering!$C$7*Pristalsregulering!$C$6</f>
        <v>28442.735999999994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8" t="s">
        <v>70</v>
      </c>
      <c r="C1" s="78"/>
      <c r="D1" s="79"/>
      <c r="E1" s="80" t="s">
        <v>71</v>
      </c>
      <c r="F1" s="80"/>
      <c r="G1" s="80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80</v>
      </c>
      <c r="E2" s="22" t="s">
        <v>0</v>
      </c>
      <c r="F2" s="22" t="s">
        <v>1</v>
      </c>
      <c r="G2" s="22" t="s">
        <v>80</v>
      </c>
    </row>
    <row r="3" spans="1:7" s="22" customFormat="1" x14ac:dyDescent="0.25">
      <c r="A3" s="72">
        <v>2015</v>
      </c>
      <c r="B3" s="38">
        <v>17126802</v>
      </c>
      <c r="C3" s="38">
        <v>6520467.8686333336</v>
      </c>
      <c r="D3" s="40">
        <v>1079685.1299999999</v>
      </c>
      <c r="E3" s="35">
        <f>B3*Pristalsregulering!C2*Pristalsregulering!C3*Pristalsregulering!C4*Pristalsregulering!C5*Pristalsregulering!C6*Pristalsregulering!C7</f>
        <v>18645931.612380382</v>
      </c>
      <c r="F3" s="35">
        <v>6714155.1085086158</v>
      </c>
      <c r="G3" s="35">
        <f xml:space="preserve"> D3/Pristalsregulering!$C$8</f>
        <v>1083803.5836177473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41</v>
      </c>
      <c r="C1" s="76"/>
      <c r="D1" s="76"/>
      <c r="E1" s="76"/>
      <c r="F1" s="77" t="s">
        <v>57</v>
      </c>
      <c r="G1" s="78"/>
      <c r="H1" s="78"/>
      <c r="I1" s="78"/>
      <c r="J1" s="81" t="s">
        <v>30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74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3062203</v>
      </c>
      <c r="D3" s="38">
        <v>0</v>
      </c>
      <c r="E3" s="40">
        <v>0</v>
      </c>
      <c r="F3" s="38">
        <f>B3</f>
        <v>0</v>
      </c>
      <c r="G3" s="38">
        <f>C3</f>
        <v>3062203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3062203</v>
      </c>
      <c r="L3" s="43">
        <f>AVERAGE(H3:H5)+AVERAGE(I3:I5)</f>
        <v>0</v>
      </c>
      <c r="M3" s="44">
        <f>SUM(J3:L3)</f>
        <v>3062203</v>
      </c>
      <c r="N3" s="23"/>
    </row>
    <row r="4" spans="1:14" x14ac:dyDescent="0.25">
      <c r="A4" s="28">
        <v>2014</v>
      </c>
      <c r="B4" s="45">
        <v>0</v>
      </c>
      <c r="C4" s="38">
        <v>3211135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3213703.9079999998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2049362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2081766.5119439994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58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117885</v>
      </c>
      <c r="G2" s="42">
        <v>0</v>
      </c>
      <c r="H2" s="42">
        <v>989283</v>
      </c>
      <c r="I2" s="42">
        <v>0</v>
      </c>
      <c r="J2" s="42"/>
      <c r="K2" s="42"/>
      <c r="L2" s="43">
        <v>0</v>
      </c>
      <c r="M2" s="44">
        <f>SUM(B2:L2)</f>
        <v>1139691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59</v>
      </c>
      <c r="B1" s="64" t="s">
        <v>60</v>
      </c>
    </row>
    <row r="2" spans="1:2" x14ac:dyDescent="0.25">
      <c r="A2" s="23" t="s">
        <v>75</v>
      </c>
      <c r="B2" s="35">
        <v>1043100</v>
      </c>
    </row>
    <row r="3" spans="1:2" x14ac:dyDescent="0.25">
      <c r="A3" t="s">
        <v>76</v>
      </c>
      <c r="B3" s="35">
        <v>1102769</v>
      </c>
    </row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2017-10-13T13:08:38Z</dcterms:modified>
</cp:coreProperties>
</file>