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3105" yWindow="1050" windowWidth="12735" windowHeight="11640" tabRatio="746"/>
  </bookViews>
  <sheets>
    <sheet name="1. Forside" sheetId="1" r:id="rId1"/>
    <sheet name="Fane 2.1. Økonomisk ramme 2018" sheetId="2" r:id="rId2"/>
    <sheet name="Fane 2.2. Økonomisk ramme 2019" sheetId="15" r:id="rId3"/>
    <sheet name="Fane 3. Korrigeret grundlag" sheetId="7" r:id="rId4"/>
    <sheet name="Fane 4. Ikke-påvirkelige omk." sheetId="19" r:id="rId5"/>
    <sheet name="Fane 5. Individuelt eff.krav" sheetId="8" r:id="rId6"/>
    <sheet name="Fane 6. Generelt eff.krav" sheetId="9" r:id="rId7"/>
    <sheet name="Fane 7. Hist. over el. underdæk" sheetId="10" r:id="rId8"/>
    <sheet name="Fane 8. Gen. inv. i 2016" sheetId="11" r:id="rId9"/>
    <sheet name="Fane 9. Korrektion af PL2016" sheetId="12" r:id="rId10"/>
    <sheet name="Fane 10. Kontrol af PL2016" sheetId="13" r:id="rId11"/>
    <sheet name="Fane 11. Tillæg" sheetId="20" r:id="rId12"/>
    <sheet name="Fane 12. Bortfald" sheetId="21" r:id="rId13"/>
  </sheets>
  <calcPr calcId="145621"/>
</workbook>
</file>

<file path=xl/calcChain.xml><?xml version="1.0" encoding="utf-8"?>
<calcChain xmlns="http://schemas.openxmlformats.org/spreadsheetml/2006/main">
  <c r="G12" i="12" l="1"/>
  <c r="E16" i="15" l="1"/>
  <c r="G15" i="10"/>
  <c r="E13" i="15" l="1"/>
  <c r="G13" i="9" l="1"/>
  <c r="G9" i="9"/>
  <c r="G9" i="8"/>
  <c r="G16" i="9" l="1"/>
  <c r="G12" i="9"/>
  <c r="G12" i="8"/>
  <c r="E12" i="2"/>
  <c r="G11" i="10" l="1"/>
  <c r="F18" i="20"/>
  <c r="F19" i="20" s="1"/>
  <c r="E15" i="2" s="1"/>
  <c r="G19" i="19" l="1"/>
  <c r="G20" i="19" s="1"/>
  <c r="E11" i="2" s="1"/>
  <c r="F16" i="11" l="1"/>
  <c r="F15" i="11"/>
  <c r="F14" i="11"/>
  <c r="F13" i="11"/>
  <c r="F12" i="11"/>
  <c r="F11" i="11"/>
  <c r="F11" i="21" l="1"/>
  <c r="F12" i="21" s="1"/>
  <c r="D11" i="21"/>
  <c r="D12" i="21" s="1"/>
  <c r="F11" i="20" l="1"/>
  <c r="F12" i="20" s="1"/>
  <c r="E14" i="2" s="1"/>
  <c r="D11" i="20"/>
  <c r="D12" i="20" s="1"/>
  <c r="E13" i="2" s="1"/>
  <c r="E17" i="2"/>
  <c r="E16" i="2"/>
  <c r="E10" i="2" l="1"/>
  <c r="E10" i="15" s="1"/>
  <c r="G12" i="7"/>
  <c r="E9" i="2" l="1"/>
  <c r="E19" i="2"/>
  <c r="E15" i="13"/>
  <c r="F10" i="11"/>
  <c r="F17" i="11"/>
  <c r="G16" i="15" l="1"/>
  <c r="G11" i="9" l="1"/>
  <c r="G30" i="13"/>
  <c r="E35" i="13" l="1"/>
  <c r="G35" i="13" s="1"/>
  <c r="E27" i="13"/>
  <c r="E19" i="13"/>
  <c r="E26" i="2"/>
  <c r="G30" i="12"/>
  <c r="E29" i="2" s="1"/>
  <c r="G24" i="12"/>
  <c r="E28" i="2" s="1"/>
  <c r="G18" i="12"/>
  <c r="E27" i="2" s="1"/>
  <c r="F18" i="11"/>
  <c r="E24" i="2"/>
  <c r="G24" i="2" s="1"/>
  <c r="G34" i="12" l="1"/>
  <c r="G36" i="12" s="1"/>
  <c r="E30" i="2" s="1"/>
  <c r="E28" i="13"/>
  <c r="G28" i="13" s="1"/>
  <c r="G36" i="13" s="1"/>
  <c r="E33" i="2" s="1"/>
  <c r="G33" i="2" s="1"/>
  <c r="G17" i="9"/>
  <c r="E21" i="2" s="1"/>
  <c r="E31" i="2" l="1"/>
  <c r="G31" i="2" s="1"/>
  <c r="E20" i="2" l="1"/>
  <c r="E22" i="2" s="1"/>
  <c r="G22" i="2" l="1"/>
  <c r="G34" i="2" l="1"/>
  <c r="E9" i="15"/>
  <c r="E12" i="15" s="1"/>
  <c r="E11" i="15" l="1"/>
  <c r="E14" i="15" s="1"/>
  <c r="G14" i="15" s="1"/>
  <c r="G17" i="15" s="1"/>
</calcChain>
</file>

<file path=xl/sharedStrings.xml><?xml version="1.0" encoding="utf-8"?>
<sst xmlns="http://schemas.openxmlformats.org/spreadsheetml/2006/main" count="356" uniqueCount="184">
  <si>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</si>
  <si>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</si>
  <si>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</si>
  <si>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</si>
  <si>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</si>
  <si>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</si>
  <si>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</si>
  <si>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2.1</t>
  </si>
  <si>
    <t>Fane 3</t>
  </si>
  <si>
    <t>Fane 4</t>
  </si>
  <si>
    <t>Fane 5</t>
  </si>
  <si>
    <t>Fane 6</t>
  </si>
  <si>
    <t>Fane 7</t>
  </si>
  <si>
    <t>Fane 8</t>
  </si>
  <si>
    <t>Fane 9</t>
  </si>
  <si>
    <t>Individuelt effektiviseringskrav</t>
  </si>
  <si>
    <t>Generelt effektiviseringskrav</t>
  </si>
  <si>
    <t>Historisk over- eller underdækning</t>
  </si>
  <si>
    <t>Korrektion i forhold til tidligere indtægtsramme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</si>
  <si>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</si>
  <si>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</si>
  <si>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</si>
  <si>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</si>
  <si>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</si>
  <si>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</si>
  <si>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</si>
  <si>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</si>
  <si>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</si>
  <si>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</si>
  <si>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</si>
  <si>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</si>
  <si>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</si>
  <si>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</si>
  <si>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</si>
  <si>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</si>
  <si>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</si>
  <si>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</si>
  <si>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Effektiviseringskrav</t>
  </si>
  <si>
    <t>pct.</t>
  </si>
  <si>
    <t>Generelt effektiviseringskrav på drift</t>
  </si>
  <si>
    <t>Generelt effektiviseringskrav på anlæg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</si>
  <si>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</si>
  <si>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</si>
  <si>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</si>
  <si>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</si>
  <si>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</si>
  <si>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- heraf ikke-påvirkelige omkostninger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</si>
  <si>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</si>
  <si>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</si>
  <si>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</si>
  <si>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</si>
  <si>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Drifts- og anlægsomkostninger inkl. finansielle omkostninger</t>
  </si>
  <si>
    <t>Samlet generelt effektiviseringskrav</t>
  </si>
  <si>
    <t>Generelt effektiviseringskrav på drift og anlæg</t>
  </si>
  <si>
    <t>Tillæg/fradrag for historisk over- eller underdækning til og med 2010</t>
  </si>
  <si>
    <t>Tillæg/fradrag for historisk over- eller underdækning</t>
  </si>
  <si>
    <t>Oversigt over den økonomiske ramme</t>
  </si>
  <si>
    <t>Indtægter fra primære aktiviteter</t>
  </si>
  <si>
    <t>Indtægter fra kubikmetertakster, faste takster, særbidrag, målergebyrer samt andre takster og gebyrer</t>
  </si>
  <si>
    <t>Fane 10</t>
  </si>
  <si>
    <t>Omkostninger i den økonomiske ramme for 2017</t>
  </si>
  <si>
    <t>Prisudvikling</t>
  </si>
  <si>
    <t>Økonomisk ramme for 2018</t>
  </si>
  <si>
    <t>Korrektion af grundlag</t>
  </si>
  <si>
    <t>Bortfald af omkostninger</t>
  </si>
  <si>
    <t>Tillæg</t>
  </si>
  <si>
    <t>Fane 11</t>
  </si>
  <si>
    <t>Fane 12</t>
  </si>
  <si>
    <t>Fane 2.2</t>
  </si>
  <si>
    <t>Samlet økonomisk ramme for 2018</t>
  </si>
  <si>
    <t>Samlet økonomisk ramme for 2019</t>
  </si>
  <si>
    <t>Fane 5: Individuelt effektiviseringskrav</t>
  </si>
  <si>
    <t>Fane 6: Generelt effektiviseringskrav</t>
  </si>
  <si>
    <t>Fane 7: Historisk over- eller underdækning</t>
  </si>
  <si>
    <t>Fane 8: Gennemførte investeringer i 2016</t>
  </si>
  <si>
    <t>Gennemførte investeringer i 2016</t>
  </si>
  <si>
    <t>Faktiske afskrivninger på gennemførte investeringer i 2016</t>
  </si>
  <si>
    <t>Fane 9: Korrektion af budgetterede omkostninger i prisloftet for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</si>
  <si>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</si>
  <si>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</si>
  <si>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</si>
  <si>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</si>
  <si>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</si>
  <si>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</si>
  <si>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</si>
  <si>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</si>
  <si>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</si>
  <si>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</si>
  <si>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</si>
  <si>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Fane 10: Korrektion for overholdelse af indtægtsrammen i prisloft for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</si>
  <si>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</si>
  <si>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</si>
  <si>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</si>
  <si>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</si>
  <si>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</si>
  <si>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</si>
  <si>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</si>
  <si>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Tillæg/fradrag i den økonomiske ramme for 2018 i alt</t>
  </si>
  <si>
    <t>Korrektion af prisloft 2016</t>
  </si>
  <si>
    <t>Korrektion af faktiske nettofinansielle poster i 2016</t>
  </si>
  <si>
    <t>Korrektion af faktiske driftsomkostninger til miljø- og servicemål i 2016</t>
  </si>
  <si>
    <t>Korrektion af faktiske driftsomkostninger til medfinansiering af klimatilpasningsprojekter i 2016</t>
  </si>
  <si>
    <t>Korrektion af tillæg for planlagte investeringer vedrørende 2016</t>
  </si>
  <si>
    <t>Samlet korrektion af budgetterede omkostninger i 2016</t>
  </si>
  <si>
    <t>Korrektion for overholdelse af indtægtsrammen i prisloft 2016</t>
  </si>
  <si>
    <t>Korrektion af faktiske 1:1 omkostninger i 2016</t>
  </si>
  <si>
    <t>Omkostninger i den økonomiske ramme for 2018</t>
  </si>
  <si>
    <t>Økonomisk ramme for 2019</t>
  </si>
  <si>
    <t>Fane 2.2: Samlet økonomisk ramme for 2019</t>
  </si>
  <si>
    <t>Fane 2.1: Samlet økonomisk ramme for 2018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</si>
  <si>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</si>
  <si>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</si>
  <si>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</si>
  <si>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</si>
  <si>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</si>
  <si>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</si>
  <si>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</si>
  <si>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</si>
  <si>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Fane 12: Bortfald eller nedsættelse af omkostninger til mål, medfinansiering eller udvidelse</t>
  </si>
  <si>
    <t>Beskrivelse af bortfald eller nedsættelse</t>
  </si>
  <si>
    <t>Heraf beløb indregnet i prislofterne for 2011-2017</t>
  </si>
  <si>
    <t>- korrektion ikke-påvirkelige omkostninger</t>
  </si>
  <si>
    <t>Til økonomisk ramme for 2018 og 2019</t>
  </si>
  <si>
    <t>Prisudvikling i kr.</t>
  </si>
  <si>
    <t>Prisudvikling i pct.</t>
  </si>
  <si>
    <t>år</t>
  </si>
  <si>
    <t>Fane 11: Tillæg</t>
  </si>
  <si>
    <t>Anlægsomkost-ninger</t>
  </si>
  <si>
    <t>Bortfald eller nedsættelse i alt i 2016-niveau</t>
  </si>
  <si>
    <t>Nye tillæg til driftsomkostninger</t>
  </si>
  <si>
    <t>Nye tillæg til anlægsomkostninger</t>
  </si>
  <si>
    <t>Bortfald eller nedsættelse af driftsomkostninger</t>
  </si>
  <si>
    <t>Bortfald eller nedsættelse af anlægsomkostninger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</si>
  <si>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</si>
  <si>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</si>
  <si>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</si>
  <si>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</si>
  <si>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</si>
  <si>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</si>
  <si>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Fane 3: Korrigeret grundlag til brug for den økonomiske ramme for 2018 og frem</t>
  </si>
  <si>
    <t>Faktisk beløb i 2016</t>
  </si>
  <si>
    <t>Korrigeret grundlag til brug for den økonomiske ramme for 2018 og frem  (i 2017-niveau)</t>
  </si>
  <si>
    <t>Kontrol af prisloft 2016</t>
  </si>
  <si>
    <t>Korrigeret grundlag (i 2017-niveau)</t>
  </si>
  <si>
    <t>Bortfald eller nedsættelse i alt i 2017-niveau</t>
  </si>
  <si>
    <t>Nye tillæg i alt i 2017-niveau</t>
  </si>
  <si>
    <t>Køretøjer, store lastvogne (&gt; 3.500 kg.)</t>
  </si>
  <si>
    <t>Indløb med riste, SRO</t>
  </si>
  <si>
    <t>Pumpestationer i underjordiske bygværker (&lt;50 m2), SRO</t>
  </si>
  <si>
    <t>Forafvanding, slam, Mek/EL</t>
  </si>
  <si>
    <t>Indløb med riste, Mek/EL</t>
  </si>
  <si>
    <t>Jordbassin Klasse B</t>
  </si>
  <si>
    <t>Pumpestationer i brønde (&lt; 6,25 m2), Konstruktioner</t>
  </si>
  <si>
    <t>Ø 200 mm &lt; Ledningsnet ≤ Ø 500 mm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</si>
  <si>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</si>
  <si>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</si>
  <si>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</si>
  <si>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</si>
  <si>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</si>
  <si>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</si>
  <si>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</si>
  <si>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</si>
  <si>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Nye ikke-påvirkelige omkostninger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</si>
  <si>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</si>
  <si>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</si>
  <si>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</si>
  <si>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</si>
  <si>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</si>
  <si>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Omkostninger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</si>
  <si>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</si>
  <si>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</si>
  <si>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</si>
  <si>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</si>
  <si>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</si>
  <si>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</si>
  <si>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</si>
  <si>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Tidligere stillet generelle effektiviseringskrav til driftsomkostninger</t>
  </si>
  <si>
    <t>Tidligere stillet effektiviseringskrav</t>
  </si>
  <si>
    <t>Tidligere stillet generelle effektiviseringskrav til anlægsomkostninger</t>
  </si>
  <si>
    <t>Beskrivelse af ikke-påvirkelig omkostning</t>
  </si>
  <si>
    <t xml:space="preserve">Driftsomkostninger til medfinansiering af klimatilpasningsprojekter </t>
  </si>
  <si>
    <t>Årlig tillæg for gæld til tjenestemandspensioner</t>
  </si>
  <si>
    <t>Resterende indregningsperiode for gæld til tjenestemandspensioner (frem til 2020)</t>
  </si>
  <si>
    <t>Tidligere indregnet tillæg for gæld til tjenestemandspensioner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</si>
</sst>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/>
  </cellStyleXfs>
  <cellXfs count="108">
    <xf numFmtId="0" fontId="0" fillId="0" borderId="0" xfId="0"/>
    <xf numFmtId="3" fontId="8" fillId="11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10" borderId="1" xfId="0" applyNumberFormat="1" applyFont="1" applyFill="1" applyBorder="1" applyAlignment="1" applyProtection="1">
      <alignment wrapText="1"/>
    </xf>
    <xf numFmtId="0" fontId="8" fillId="10" borderId="1" xfId="0" applyFont="1" applyFill="1" applyBorder="1" applyAlignment="1" applyProtection="1">
      <alignment wrapText="1"/>
    </xf>
    <xf numFmtId="0" fontId="8" fillId="10" borderId="4" xfId="0" applyFont="1" applyFill="1" applyBorder="1" applyAlignment="1" applyProtection="1">
      <alignment wrapText="1"/>
    </xf>
    <xf numFmtId="0" fontId="8" fillId="10" borderId="5" xfId="0" applyFont="1" applyFill="1" applyBorder="1" applyAlignment="1" applyProtection="1">
      <alignment wrapText="1"/>
    </xf>
    <xf numFmtId="3" fontId="8" fillId="10" borderId="1" xfId="0" applyNumberFormat="1" applyFont="1" applyFill="1" applyBorder="1" applyProtection="1"/>
    <xf numFmtId="3" fontId="8" fillId="10" borderId="6" xfId="0" applyNumberFormat="1" applyFont="1" applyFill="1" applyBorder="1" applyProtection="1"/>
    <xf numFmtId="0" fontId="8" fillId="10" borderId="7" xfId="0" applyFont="1" applyFill="1" applyBorder="1" applyAlignment="1" applyProtection="1">
      <alignment wrapText="1"/>
    </xf>
    <xf numFmtId="0" fontId="8" fillId="10" borderId="6" xfId="0" applyFont="1" applyFill="1" applyBorder="1" applyProtection="1"/>
    <xf numFmtId="0" fontId="8" fillId="10" borderId="8" xfId="0" applyFont="1" applyFill="1" applyBorder="1" applyProtection="1"/>
    <xf numFmtId="0" fontId="8" fillId="10" borderId="9" xfId="0" applyFont="1" applyFill="1" applyBorder="1" applyAlignment="1" applyProtection="1">
      <alignment wrapText="1"/>
    </xf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10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10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2" fontId="8" fillId="10" borderId="1" xfId="0" applyNumberFormat="1" applyFont="1" applyFill="1" applyBorder="1" applyProtection="1"/>
    <xf numFmtId="165" fontId="8" fillId="10" borderId="1" xfId="0" applyNumberFormat="1" applyFont="1" applyFill="1" applyBorder="1" applyProtection="1"/>
    <xf numFmtId="0" fontId="8" fillId="4" borderId="1" xfId="0" applyFont="1" applyFill="1" applyBorder="1" applyProtection="1"/>
    <xf numFmtId="0" fontId="11" fillId="4" borderId="1" xfId="0" applyFont="1" applyFill="1" applyBorder="1" applyProtection="1"/>
    <xf numFmtId="1" fontId="8" fillId="10" borderId="1" xfId="0" applyNumberFormat="1" applyFont="1" applyFill="1" applyBorder="1" applyProtection="1"/>
    <xf numFmtId="0" fontId="8" fillId="10" borderId="5" xfId="0" applyFont="1" applyFill="1" applyBorder="1" applyProtection="1"/>
    <xf numFmtId="0" fontId="8" fillId="10" borderId="7" xfId="0" applyFont="1" applyFill="1" applyBorder="1" applyProtection="1"/>
    <xf numFmtId="0" fontId="8" fillId="10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3" fontId="11" fillId="4" borderId="1" xfId="0" applyNumberFormat="1" applyFont="1" applyFill="1" applyBorder="1" applyProtection="1"/>
    <xf numFmtId="0" fontId="8" fillId="10" borderId="2" xfId="0" quotePrefix="1" applyFont="1" applyFill="1" applyBorder="1" applyAlignment="1" applyProtection="1">
      <alignment horizontal="left"/>
    </xf>
    <xf numFmtId="0" fontId="8" fillId="10" borderId="10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10" borderId="2" xfId="0" applyFont="1" applyFill="1" applyBorder="1" applyAlignment="1" applyProtection="1">
      <alignment horizontal="left"/>
    </xf>
    <xf numFmtId="0" fontId="12" fillId="10" borderId="2" xfId="0" applyFont="1" applyFill="1" applyBorder="1" applyAlignment="1" applyProtection="1">
      <alignment horizontal="left"/>
    </xf>
    <xf numFmtId="0" fontId="10" fillId="10" borderId="10" xfId="0" applyFont="1" applyFill="1" applyBorder="1" applyAlignment="1" applyProtection="1">
      <alignment horizontal="left"/>
    </xf>
    <xf numFmtId="0" fontId="10" fillId="10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1" fillId="9" borderId="6" xfId="2" applyFont="1" applyFill="1" applyBorder="1" applyAlignment="1" applyProtection="1">
      <alignment horizontal="center"/>
    </xf>
    <xf numFmtId="0" fontId="1" fillId="9" borderId="0" xfId="2" applyFont="1" applyFill="1" applyBorder="1" applyAlignment="1" applyProtection="1">
      <alignment horizontal="center"/>
    </xf>
    <xf numFmtId="0" fontId="1" fillId="9" borderId="7" xfId="2" applyFont="1" applyFill="1" applyBorder="1" applyAlignment="1" applyProtection="1">
      <alignment horizontal="center"/>
    </xf>
    <xf numFmtId="0" fontId="1" fillId="12" borderId="6" xfId="2" applyFont="1" applyFill="1" applyBorder="1" applyAlignment="1" applyProtection="1">
      <alignment horizontal="center"/>
    </xf>
    <xf numFmtId="0" fontId="1" fillId="12" borderId="0" xfId="2" applyFont="1" applyFill="1" applyBorder="1" applyAlignment="1" applyProtection="1">
      <alignment horizontal="center"/>
    </xf>
    <xf numFmtId="0" fontId="1" fillId="12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5" fillId="8" borderId="6" xfId="2" applyFont="1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8" borderId="7" xfId="0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5" fillId="6" borderId="6" xfId="2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0" fillId="6" borderId="7" xfId="0" applyFill="1" applyBorder="1" applyAlignment="1" applyProtection="1">
      <alignment horizontal="center"/>
    </xf>
    <xf numFmtId="0" fontId="15" fillId="7" borderId="6" xfId="2" applyFont="1" applyFill="1" applyBorder="1" applyAlignment="1" applyProtection="1">
      <alignment horizontal="center"/>
    </xf>
    <xf numFmtId="0" fontId="15" fillId="7" borderId="0" xfId="2" applyFont="1" applyFill="1" applyBorder="1" applyAlignment="1" applyProtection="1">
      <alignment horizontal="center"/>
    </xf>
    <xf numFmtId="0" fontId="15" fillId="7" borderId="7" xfId="2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8" fillId="10" borderId="2" xfId="0" applyFont="1" applyFill="1" applyBorder="1" applyAlignment="1" applyProtection="1">
      <alignment horizontal="left" wrapText="1"/>
    </xf>
    <xf numFmtId="0" fontId="8" fillId="10" borderId="10" xfId="0" applyFont="1" applyFill="1" applyBorder="1" applyAlignment="1" applyProtection="1">
      <alignment horizontal="left" wrapText="1"/>
    </xf>
    <xf numFmtId="0" fontId="8" fillId="10" borderId="3" xfId="0" applyFont="1" applyFill="1" applyBorder="1" applyAlignment="1" applyProtection="1">
      <alignment horizontal="left" wrapText="1"/>
    </xf>
    <xf numFmtId="0" fontId="8" fillId="10" borderId="2" xfId="0" applyFont="1" applyFill="1" applyBorder="1" applyAlignment="1" applyProtection="1">
      <alignment horizontal="left"/>
    </xf>
    <xf numFmtId="0" fontId="8" fillId="10" borderId="10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10" borderId="2" xfId="0" quotePrefix="1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10" borderId="10" xfId="0" quotePrefix="1" applyFont="1" applyFill="1" applyBorder="1" applyAlignment="1" applyProtection="1">
      <alignment horizontal="left"/>
    </xf>
    <xf numFmtId="0" fontId="8" fillId="10" borderId="3" xfId="0" quotePrefix="1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2" fillId="2" borderId="0" xfId="0" applyFont="1" applyFill="1" applyAlignment="1" applyProtection="1">
      <alignment horizontal="center" vertical="center" wrapText="1"/>
    </xf>
    <xf numFmtId="0" fontId="12" fillId="10" borderId="2" xfId="0" applyFont="1" applyFill="1" applyBorder="1" applyAlignment="1" applyProtection="1">
      <alignment horizontal="left"/>
    </xf>
    <xf numFmtId="0" fontId="10" fillId="10" borderId="10" xfId="0" applyFont="1" applyFill="1" applyBorder="1" applyAlignment="1" applyProtection="1">
      <alignment horizontal="left"/>
    </xf>
    <xf numFmtId="0" fontId="10" fillId="10" borderId="3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/>
    </xf>
    <xf numFmtId="0" fontId="11" fillId="4" borderId="10" xfId="0" applyFont="1" applyFill="1" applyBorder="1" applyAlignment="1" applyProtection="1">
      <alignment horizontal="left"/>
    </xf>
    <xf numFmtId="0" fontId="11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7" fillId="3" borderId="2" xfId="0" quotePrefix="1" applyFont="1" applyFill="1" applyBorder="1" applyAlignment="1" applyProtection="1">
      <alignment horizontal="left"/>
    </xf>
    <xf numFmtId="3" fontId="8" fillId="10" borderId="1" xfId="1" applyNumberFormat="1" applyFont="1" applyFill="1" applyBorder="1" applyAlignment="1" applyProtection="1"/>
    <xf numFmtId="0" fontId="8" fillId="10" borderId="1" xfId="0" applyFont="1" applyFill="1" applyBorder="1" applyAlignment="1" applyProtection="1">
      <alignment horizontal="left" wrapText="1"/>
    </xf>
    <xf numFmtId="49" fontId="8" fillId="10" borderId="2" xfId="0" applyNumberFormat="1" applyFont="1" applyFill="1" applyBorder="1" applyAlignment="1" applyProtection="1">
      <alignment horizontal="left" wrapText="1"/>
    </xf>
    <xf numFmtId="49" fontId="8" fillId="10" borderId="2" xfId="0" applyNumberFormat="1" applyFont="1" applyFill="1" applyBorder="1" applyAlignment="1" applyProtection="1">
      <alignment horizontal="left"/>
    </xf>
    <xf numFmtId="49" fontId="8" fillId="10" borderId="3" xfId="0" applyNumberFormat="1" applyFont="1" applyFill="1" applyBorder="1" applyAlignment="1" applyProtection="1">
      <alignment horizontal="left"/>
    </xf>
    <xf numFmtId="3" fontId="8" fillId="10" borderId="1" xfId="0" applyNumberFormat="1" applyFont="1" applyFill="1" applyBorder="1" applyAlignment="1" applyProtection="1"/>
    <xf numFmtId="49" fontId="8" fillId="10" borderId="2" xfId="0" applyNumberFormat="1" applyFont="1" applyFill="1" applyBorder="1" applyAlignment="1" applyProtection="1"/>
    <xf numFmtId="49" fontId="8" fillId="10" borderId="10" xfId="0" applyNumberFormat="1" applyFont="1" applyFill="1" applyBorder="1" applyAlignment="1" applyProtection="1"/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32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54" t="s">
        <v>5</v>
      </c>
      <c r="E6" s="54"/>
      <c r="F6" s="54"/>
      <c r="G6" s="54"/>
      <c r="H6" s="4"/>
      <c r="I6" s="2"/>
    </row>
    <row r="7" spans="1:9" ht="15" customHeight="1" x14ac:dyDescent="0.25">
      <c r="A7" s="2"/>
      <c r="B7" s="2"/>
      <c r="C7" s="4"/>
      <c r="D7" s="54"/>
      <c r="E7" s="54"/>
      <c r="F7" s="54"/>
      <c r="G7" s="54"/>
      <c r="H7" s="4"/>
      <c r="I7" s="2"/>
    </row>
    <row r="8" spans="1:9" ht="15.75" x14ac:dyDescent="0.25">
      <c r="A8" s="2"/>
      <c r="B8" s="2"/>
      <c r="C8" s="5"/>
      <c r="D8" s="59" t="s">
        <v>122</v>
      </c>
      <c r="E8" s="59"/>
      <c r="F8" s="59"/>
      <c r="G8" s="5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58" t="s">
        <v>6</v>
      </c>
      <c r="E11" s="58"/>
      <c r="F11" s="58"/>
      <c r="G11" s="5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7</v>
      </c>
      <c r="D13" s="51" t="s">
        <v>69</v>
      </c>
      <c r="E13" s="52"/>
      <c r="F13" s="52"/>
      <c r="G13" s="53"/>
      <c r="H13" s="2"/>
      <c r="I13" s="2"/>
    </row>
    <row r="14" spans="1:9" x14ac:dyDescent="0.25">
      <c r="A14" s="2"/>
      <c r="B14" s="2"/>
      <c r="C14" s="7" t="s">
        <v>68</v>
      </c>
      <c r="D14" s="51" t="s">
        <v>70</v>
      </c>
      <c r="E14" s="52"/>
      <c r="F14" s="52"/>
      <c r="G14" s="53"/>
      <c r="H14" s="2"/>
      <c r="I14" s="2"/>
    </row>
    <row r="15" spans="1:9" x14ac:dyDescent="0.25">
      <c r="A15" s="2"/>
      <c r="B15" s="2"/>
      <c r="C15" s="7" t="s">
        <v>8</v>
      </c>
      <c r="D15" s="60" t="s">
        <v>63</v>
      </c>
      <c r="E15" s="61"/>
      <c r="F15" s="61"/>
      <c r="G15" s="62"/>
      <c r="H15" s="2"/>
      <c r="I15" s="2"/>
    </row>
    <row r="16" spans="1:9" x14ac:dyDescent="0.25">
      <c r="A16" s="2"/>
      <c r="B16" s="2"/>
      <c r="C16" s="7" t="s">
        <v>9</v>
      </c>
      <c r="D16" s="60" t="s">
        <v>49</v>
      </c>
      <c r="E16" s="61"/>
      <c r="F16" s="61"/>
      <c r="G16" s="62"/>
      <c r="H16" s="2"/>
      <c r="I16" s="2"/>
    </row>
    <row r="17" spans="1:9" x14ac:dyDescent="0.25">
      <c r="A17" s="2"/>
      <c r="B17" s="2"/>
      <c r="C17" s="7" t="s">
        <v>10</v>
      </c>
      <c r="D17" s="63" t="s">
        <v>15</v>
      </c>
      <c r="E17" s="64"/>
      <c r="F17" s="64"/>
      <c r="G17" s="65"/>
      <c r="H17" s="2"/>
      <c r="I17" s="2"/>
    </row>
    <row r="18" spans="1:9" x14ac:dyDescent="0.25">
      <c r="A18" s="2"/>
      <c r="B18" s="2"/>
      <c r="C18" s="7" t="s">
        <v>11</v>
      </c>
      <c r="D18" s="63" t="s">
        <v>16</v>
      </c>
      <c r="E18" s="64"/>
      <c r="F18" s="64"/>
      <c r="G18" s="65"/>
      <c r="H18" s="2"/>
      <c r="I18" s="2"/>
    </row>
    <row r="19" spans="1:9" x14ac:dyDescent="0.25">
      <c r="A19" s="2"/>
      <c r="B19" s="2"/>
      <c r="C19" s="7" t="s">
        <v>12</v>
      </c>
      <c r="D19" s="66" t="s">
        <v>17</v>
      </c>
      <c r="E19" s="67"/>
      <c r="F19" s="67"/>
      <c r="G19" s="68"/>
      <c r="H19" s="2"/>
      <c r="I19" s="2"/>
    </row>
    <row r="20" spans="1:9" x14ac:dyDescent="0.25">
      <c r="A20" s="2"/>
      <c r="B20" s="2"/>
      <c r="C20" s="7" t="s">
        <v>13</v>
      </c>
      <c r="D20" s="55" t="s">
        <v>75</v>
      </c>
      <c r="E20" s="56"/>
      <c r="F20" s="56"/>
      <c r="G20" s="57"/>
      <c r="H20" s="2"/>
      <c r="I20" s="2"/>
    </row>
    <row r="21" spans="1:9" x14ac:dyDescent="0.25">
      <c r="A21" s="2"/>
      <c r="B21" s="2"/>
      <c r="C21" s="7" t="s">
        <v>14</v>
      </c>
      <c r="D21" s="55" t="s">
        <v>98</v>
      </c>
      <c r="E21" s="56"/>
      <c r="F21" s="56"/>
      <c r="G21" s="57"/>
      <c r="H21" s="2"/>
      <c r="I21" s="2"/>
    </row>
    <row r="22" spans="1:9" x14ac:dyDescent="0.25">
      <c r="A22" s="2"/>
      <c r="B22" s="2"/>
      <c r="C22" s="7" t="s">
        <v>59</v>
      </c>
      <c r="D22" s="45" t="s">
        <v>142</v>
      </c>
      <c r="E22" s="46"/>
      <c r="F22" s="46"/>
      <c r="G22" s="47"/>
      <c r="H22" s="2"/>
      <c r="I22" s="2"/>
    </row>
    <row r="23" spans="1:9" x14ac:dyDescent="0.25">
      <c r="A23" s="2"/>
      <c r="B23" s="2"/>
      <c r="C23" s="7" t="s">
        <v>66</v>
      </c>
      <c r="D23" s="48" t="s">
        <v>65</v>
      </c>
      <c r="E23" s="49"/>
      <c r="F23" s="49"/>
      <c r="G23" s="50"/>
      <c r="H23" s="2"/>
      <c r="I23" s="2"/>
    </row>
    <row r="24" spans="1:9" x14ac:dyDescent="0.25">
      <c r="A24" s="2"/>
      <c r="B24" s="2"/>
      <c r="C24" s="7" t="s">
        <v>67</v>
      </c>
      <c r="D24" s="48" t="s">
        <v>64</v>
      </c>
      <c r="E24" s="49"/>
      <c r="F24" s="49"/>
      <c r="G24" s="50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</sheetData>
  <sheetProtection password="DFE9" sheet="1" objects="1" scenarios="1"/>
  <mergeCells count="15">
    <mergeCell ref="D22:G22"/>
    <mergeCell ref="D23:G23"/>
    <mergeCell ref="D24:G24"/>
    <mergeCell ref="D14:G14"/>
    <mergeCell ref="D6:G7"/>
    <mergeCell ref="D20:G20"/>
    <mergeCell ref="D21:G21"/>
    <mergeCell ref="D11:G11"/>
    <mergeCell ref="D8:G8"/>
    <mergeCell ref="D15:G15"/>
    <mergeCell ref="D16:G16"/>
    <mergeCell ref="D17:G17"/>
    <mergeCell ref="D18:G18"/>
    <mergeCell ref="D19:G19"/>
    <mergeCell ref="D13:G13"/>
  </mergeCells>
  <hyperlinks>
    <hyperlink ref="D14:G14" location="'Fane 2.2. Økonomisk ramme 2019'!A1" display="Samlet økonomisk ramme for 2019"/>
    <hyperlink ref="D15:G15" location="'Fane 3. Korrigeret grundlag'!A1" display="Korrektion af grundlag"/>
    <hyperlink ref="D16:G16" location="'Fane 4. Ikke-påvirkelige omk.'!A1" display="Ikke-påvirkelige omkostninger"/>
    <hyperlink ref="D17:G17" location="'Fane 5. Individuelt eff.krav'!A1" display="Individuelt effektiviseringskrav"/>
    <hyperlink ref="D18:G18" location="'Fane 6. Generelt eff.krav'!A1" display="Generelt effektiviseringskrav"/>
    <hyperlink ref="D19:G19" location="'Fane 7. Hist. over el. underdæk'!A1" display="Historisk over- eller underdækning"/>
    <hyperlink ref="D20:G20" location="'Fane 8. Gen. inv. i 2016'!A1" display="Gennemførte investeringer i 2015"/>
    <hyperlink ref="D21:G21" location="'Fane 9. Korrektion af PL2016'!A1" display="Korrektion af prisloft 2015"/>
    <hyperlink ref="D22:G22" location="'Fane 10. Kontrol af PL2016'!A1" display="Kontrol af prisloft 2015"/>
    <hyperlink ref="D23:G23" location="'Fane 11. Tillæg'!A1" display="Tillæg"/>
    <hyperlink ref="D24:G24" location="'Fane 12. Bortfald'!A1" display="Bortfald af omkostninger"/>
    <hyperlink ref="D13:G13" location="'Fane 2.1. Økonomisk ramme 2018'!A1" display="Samlet økonomisk ramme for 2018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38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27.140625" style="3" customWidth="1"/>
    <col min="5" max="5" width="10.28515625" style="3" customWidth="1"/>
    <col min="6" max="6" width="3.85546875" style="3" customWidth="1"/>
    <col min="7" max="7" width="12.28515625" style="3" customWidth="1"/>
    <col min="8" max="8" width="3.28515625" style="3" customWidth="1"/>
    <col min="9" max="9" width="4.71093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69" t="s">
        <v>109</v>
      </c>
      <c r="C3" s="69"/>
      <c r="D3" s="69"/>
      <c r="E3" s="69"/>
      <c r="F3" s="69"/>
      <c r="G3" s="69"/>
      <c r="H3" s="69"/>
      <c r="I3" s="2"/>
    </row>
    <row r="4" spans="1:9" ht="15" customHeight="1" x14ac:dyDescent="0.25">
      <c r="A4" s="2"/>
      <c r="B4" s="69"/>
      <c r="C4" s="69"/>
      <c r="D4" s="69"/>
      <c r="E4" s="69"/>
      <c r="F4" s="69"/>
      <c r="G4" s="69"/>
      <c r="H4" s="69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83" t="s">
        <v>56</v>
      </c>
      <c r="C8" s="84"/>
      <c r="D8" s="84"/>
      <c r="E8" s="84"/>
      <c r="F8" s="84"/>
      <c r="G8" s="84"/>
      <c r="H8" s="85"/>
      <c r="I8" s="2"/>
    </row>
    <row r="9" spans="1:9" ht="15" customHeight="1" x14ac:dyDescent="0.25">
      <c r="A9" s="2"/>
      <c r="B9" s="70" t="s">
        <v>60</v>
      </c>
      <c r="C9" s="71"/>
      <c r="D9" s="72"/>
      <c r="E9" s="8">
        <f>'Fane 3. Korrigeret grundlag'!G12</f>
        <v>381871203.50540757</v>
      </c>
      <c r="F9" s="9" t="s">
        <v>4</v>
      </c>
      <c r="G9" s="10"/>
      <c r="H9" s="11"/>
      <c r="I9" s="2"/>
    </row>
    <row r="10" spans="1:9" x14ac:dyDescent="0.25">
      <c r="A10" s="2"/>
      <c r="B10" s="79" t="s">
        <v>46</v>
      </c>
      <c r="C10" s="74"/>
      <c r="D10" s="75"/>
      <c r="E10" s="12">
        <f>'Fane 3. Korrigeret grundlag'!G11</f>
        <v>9241245.372381879</v>
      </c>
      <c r="F10" s="9" t="s">
        <v>4</v>
      </c>
      <c r="G10" s="13"/>
      <c r="H10" s="14"/>
      <c r="I10" s="2"/>
    </row>
    <row r="11" spans="1:9" x14ac:dyDescent="0.25">
      <c r="A11" s="2"/>
      <c r="B11" s="79" t="s">
        <v>121</v>
      </c>
      <c r="C11" s="74"/>
      <c r="D11" s="75"/>
      <c r="E11" s="12">
        <f>'Fane 4. Ikke-påvirkelige omk.'!G20</f>
        <v>-1436907.9896270002</v>
      </c>
      <c r="F11" s="9" t="s">
        <v>4</v>
      </c>
      <c r="G11" s="13"/>
      <c r="H11" s="14"/>
      <c r="I11" s="2"/>
    </row>
    <row r="12" spans="1:9" x14ac:dyDescent="0.25">
      <c r="A12" s="2"/>
      <c r="B12" s="37" t="s">
        <v>177</v>
      </c>
      <c r="C12" s="38"/>
      <c r="D12" s="39"/>
      <c r="E12" s="12">
        <f>'Fane 5. Individuelt eff.krav'!G10</f>
        <v>-6997900.701402612</v>
      </c>
      <c r="F12" s="9" t="s">
        <v>4</v>
      </c>
      <c r="G12" s="13"/>
      <c r="H12" s="14"/>
      <c r="I12" s="2"/>
    </row>
    <row r="13" spans="1:9" x14ac:dyDescent="0.25">
      <c r="A13" s="2"/>
      <c r="B13" s="70" t="s">
        <v>129</v>
      </c>
      <c r="C13" s="71"/>
      <c r="D13" s="72"/>
      <c r="E13" s="12">
        <f>'Fane 11. Tillæg'!$D$12</f>
        <v>0</v>
      </c>
      <c r="F13" s="9" t="s">
        <v>4</v>
      </c>
      <c r="G13" s="13"/>
      <c r="H13" s="14"/>
      <c r="I13" s="2"/>
    </row>
    <row r="14" spans="1:9" x14ac:dyDescent="0.25">
      <c r="A14" s="2"/>
      <c r="B14" s="70" t="s">
        <v>130</v>
      </c>
      <c r="C14" s="71"/>
      <c r="D14" s="72"/>
      <c r="E14" s="12">
        <f>'Fane 11. Tillæg'!$F$12</f>
        <v>0</v>
      </c>
      <c r="F14" s="9" t="s">
        <v>4</v>
      </c>
      <c r="G14" s="13"/>
      <c r="H14" s="14"/>
      <c r="I14" s="2"/>
    </row>
    <row r="15" spans="1:9" x14ac:dyDescent="0.25">
      <c r="A15" s="2"/>
      <c r="B15" s="70" t="s">
        <v>162</v>
      </c>
      <c r="C15" s="71"/>
      <c r="D15" s="72"/>
      <c r="E15" s="12">
        <f>'Fane 11. Tillæg'!F19</f>
        <v>0</v>
      </c>
      <c r="F15" s="9" t="s">
        <v>4</v>
      </c>
      <c r="G15" s="13"/>
      <c r="H15" s="14"/>
      <c r="I15" s="2"/>
    </row>
    <row r="16" spans="1:9" x14ac:dyDescent="0.25">
      <c r="A16" s="2"/>
      <c r="B16" s="70" t="s">
        <v>131</v>
      </c>
      <c r="C16" s="71"/>
      <c r="D16" s="72"/>
      <c r="E16" s="12">
        <f>'Fane 12. Bortfald'!$D$12</f>
        <v>0</v>
      </c>
      <c r="F16" s="9" t="s">
        <v>4</v>
      </c>
      <c r="G16" s="13"/>
      <c r="H16" s="14"/>
      <c r="I16" s="2"/>
    </row>
    <row r="17" spans="1:9" x14ac:dyDescent="0.25">
      <c r="A17" s="2"/>
      <c r="B17" s="70" t="s">
        <v>132</v>
      </c>
      <c r="C17" s="71"/>
      <c r="D17" s="72"/>
      <c r="E17" s="12">
        <f>'Fane 12. Bortfald'!$F$12</f>
        <v>0</v>
      </c>
      <c r="F17" s="9" t="s">
        <v>4</v>
      </c>
      <c r="G17" s="13"/>
      <c r="H17" s="14"/>
      <c r="I17" s="2"/>
    </row>
    <row r="18" spans="1:9" x14ac:dyDescent="0.25">
      <c r="A18" s="2"/>
      <c r="B18" s="37" t="s">
        <v>124</v>
      </c>
      <c r="C18" s="38"/>
      <c r="D18" s="39"/>
      <c r="E18" s="26">
        <v>1.75</v>
      </c>
      <c r="F18" s="9" t="s">
        <v>38</v>
      </c>
      <c r="G18" s="13"/>
      <c r="H18" s="14"/>
      <c r="I18" s="2"/>
    </row>
    <row r="19" spans="1:9" x14ac:dyDescent="0.25">
      <c r="A19" s="2"/>
      <c r="B19" s="79" t="s">
        <v>123</v>
      </c>
      <c r="C19" s="74"/>
      <c r="D19" s="75"/>
      <c r="E19" s="12">
        <f>SUM(E9,E11:E17)*(E18/100)</f>
        <v>6535136.9092516154</v>
      </c>
      <c r="F19" s="9" t="s">
        <v>4</v>
      </c>
      <c r="G19" s="13"/>
      <c r="H19" s="14"/>
      <c r="I19" s="2"/>
    </row>
    <row r="20" spans="1:9" x14ac:dyDescent="0.25">
      <c r="A20" s="2"/>
      <c r="B20" s="73" t="s">
        <v>15</v>
      </c>
      <c r="C20" s="74"/>
      <c r="D20" s="75"/>
      <c r="E20" s="12">
        <f>'Fane 5. Individuelt eff.krav'!G12</f>
        <v>2497415.6025502807</v>
      </c>
      <c r="F20" s="9" t="s">
        <v>4</v>
      </c>
      <c r="G20" s="15"/>
      <c r="H20" s="14"/>
      <c r="I20" s="2"/>
    </row>
    <row r="21" spans="1:9" x14ac:dyDescent="0.25">
      <c r="A21" s="2"/>
      <c r="B21" s="73" t="s">
        <v>16</v>
      </c>
      <c r="C21" s="74"/>
      <c r="D21" s="75"/>
      <c r="E21" s="12">
        <f>'Fane 6. Generelt eff.krav'!G17</f>
        <v>6906026.02561404</v>
      </c>
      <c r="F21" s="9" t="s">
        <v>4</v>
      </c>
      <c r="G21" s="16"/>
      <c r="H21" s="17"/>
      <c r="I21" s="2"/>
    </row>
    <row r="22" spans="1:9" x14ac:dyDescent="0.25">
      <c r="A22" s="2"/>
      <c r="B22" s="80" t="s">
        <v>168</v>
      </c>
      <c r="C22" s="81"/>
      <c r="D22" s="82"/>
      <c r="E22" s="18">
        <f>SUM(E9,E11:E17,E19)-SUM(E20:E21)</f>
        <v>370568090.0954653</v>
      </c>
      <c r="F22" s="19" t="s">
        <v>4</v>
      </c>
      <c r="G22" s="18">
        <f>E22</f>
        <v>370568090.0954653</v>
      </c>
      <c r="H22" s="19" t="s">
        <v>4</v>
      </c>
      <c r="I22" s="2"/>
    </row>
    <row r="23" spans="1:9" x14ac:dyDescent="0.25">
      <c r="A23" s="2"/>
      <c r="B23" s="83" t="s">
        <v>17</v>
      </c>
      <c r="C23" s="84"/>
      <c r="D23" s="84"/>
      <c r="E23" s="84"/>
      <c r="F23" s="84"/>
      <c r="G23" s="84"/>
      <c r="H23" s="85"/>
      <c r="I23" s="2"/>
    </row>
    <row r="24" spans="1:9" x14ac:dyDescent="0.25">
      <c r="A24" s="2"/>
      <c r="B24" s="76" t="s">
        <v>55</v>
      </c>
      <c r="C24" s="77"/>
      <c r="D24" s="78"/>
      <c r="E24" s="18">
        <f>'Fane 7. Hist. over el. underdæk'!G15</f>
        <v>3927226</v>
      </c>
      <c r="F24" s="19" t="s">
        <v>4</v>
      </c>
      <c r="G24" s="18">
        <f>E24</f>
        <v>3927226</v>
      </c>
      <c r="H24" s="19" t="s">
        <v>4</v>
      </c>
      <c r="I24" s="2"/>
    </row>
    <row r="25" spans="1:9" x14ac:dyDescent="0.25">
      <c r="A25" s="2"/>
      <c r="B25" s="83" t="s">
        <v>98</v>
      </c>
      <c r="C25" s="84"/>
      <c r="D25" s="84"/>
      <c r="E25" s="84"/>
      <c r="F25" s="84"/>
      <c r="G25" s="84"/>
      <c r="H25" s="85"/>
      <c r="I25" s="2"/>
    </row>
    <row r="26" spans="1:9" x14ac:dyDescent="0.25">
      <c r="A26" s="2"/>
      <c r="B26" s="70" t="s">
        <v>105</v>
      </c>
      <c r="C26" s="71"/>
      <c r="D26" s="72"/>
      <c r="E26" s="12">
        <f>'Fane 9. Korrektion af PL2016'!G12</f>
        <v>558659</v>
      </c>
      <c r="F26" s="9" t="s">
        <v>4</v>
      </c>
      <c r="G26" s="20"/>
      <c r="H26" s="11"/>
      <c r="I26" s="2"/>
    </row>
    <row r="27" spans="1:9" x14ac:dyDescent="0.25">
      <c r="A27" s="2"/>
      <c r="B27" s="70" t="s">
        <v>99</v>
      </c>
      <c r="C27" s="71"/>
      <c r="D27" s="72"/>
      <c r="E27" s="12">
        <f>'Fane 9. Korrektion af PL2016'!G18</f>
        <v>-5760343</v>
      </c>
      <c r="F27" s="9" t="s">
        <v>4</v>
      </c>
      <c r="G27" s="15"/>
      <c r="H27" s="14"/>
      <c r="I27" s="2"/>
    </row>
    <row r="28" spans="1:9" ht="30" customHeight="1" x14ac:dyDescent="0.25">
      <c r="A28" s="2"/>
      <c r="B28" s="70" t="s">
        <v>100</v>
      </c>
      <c r="C28" s="71"/>
      <c r="D28" s="72"/>
      <c r="E28" s="12">
        <f>'Fane 9. Korrektion af PL2016'!G24</f>
        <v>94637</v>
      </c>
      <c r="F28" s="9" t="s">
        <v>4</v>
      </c>
      <c r="G28" s="13"/>
      <c r="H28" s="14"/>
      <c r="I28" s="2"/>
    </row>
    <row r="29" spans="1:9" ht="30" customHeight="1" x14ac:dyDescent="0.25">
      <c r="A29" s="2"/>
      <c r="B29" s="70" t="s">
        <v>101</v>
      </c>
      <c r="C29" s="71"/>
      <c r="D29" s="72"/>
      <c r="E29" s="12">
        <f>'Fane 9. Korrektion af PL2016'!G30</f>
        <v>-354000</v>
      </c>
      <c r="F29" s="9" t="s">
        <v>4</v>
      </c>
      <c r="G29" s="15"/>
      <c r="H29" s="14"/>
      <c r="I29" s="2"/>
    </row>
    <row r="30" spans="1:9" ht="28.5" customHeight="1" x14ac:dyDescent="0.25">
      <c r="A30" s="2"/>
      <c r="B30" s="70" t="s">
        <v>102</v>
      </c>
      <c r="C30" s="71"/>
      <c r="D30" s="72"/>
      <c r="E30" s="12">
        <f>'Fane 9. Korrektion af PL2016'!G36</f>
        <v>1124030.6717333337</v>
      </c>
      <c r="F30" s="9" t="s">
        <v>4</v>
      </c>
      <c r="G30" s="15"/>
      <c r="H30" s="14"/>
      <c r="I30" s="2"/>
    </row>
    <row r="31" spans="1:9" x14ac:dyDescent="0.25">
      <c r="A31" s="2"/>
      <c r="B31" s="76" t="s">
        <v>103</v>
      </c>
      <c r="C31" s="77"/>
      <c r="D31" s="78"/>
      <c r="E31" s="18">
        <f>SUM(E26:E30)</f>
        <v>-4337016.3282666663</v>
      </c>
      <c r="F31" s="19" t="s">
        <v>4</v>
      </c>
      <c r="G31" s="18">
        <f>E31</f>
        <v>-4337016.3282666663</v>
      </c>
      <c r="H31" s="19" t="s">
        <v>4</v>
      </c>
      <c r="I31" s="2"/>
    </row>
    <row r="32" spans="1:9" x14ac:dyDescent="0.25">
      <c r="A32" s="2"/>
      <c r="B32" s="83" t="s">
        <v>18</v>
      </c>
      <c r="C32" s="84"/>
      <c r="D32" s="84"/>
      <c r="E32" s="84"/>
      <c r="F32" s="84"/>
      <c r="G32" s="84"/>
      <c r="H32" s="85"/>
      <c r="I32" s="2"/>
    </row>
    <row r="33" spans="1:9" x14ac:dyDescent="0.25">
      <c r="A33" s="2"/>
      <c r="B33" s="76" t="s">
        <v>104</v>
      </c>
      <c r="C33" s="77"/>
      <c r="D33" s="78"/>
      <c r="E33" s="18">
        <f>'Fane 10. Kontrol af PL2016'!G36</f>
        <v>-11278181.746523857</v>
      </c>
      <c r="F33" s="19" t="s">
        <v>4</v>
      </c>
      <c r="G33" s="18">
        <f>E33</f>
        <v>-11278181.746523857</v>
      </c>
      <c r="H33" s="19" t="s">
        <v>4</v>
      </c>
      <c r="I33" s="2"/>
    </row>
    <row r="34" spans="1:9" x14ac:dyDescent="0.25">
      <c r="A34" s="2"/>
      <c r="B34" s="83" t="s">
        <v>62</v>
      </c>
      <c r="C34" s="84"/>
      <c r="D34" s="84"/>
      <c r="E34" s="84"/>
      <c r="F34" s="85"/>
      <c r="G34" s="21">
        <f>G22+G24+G31+G33</f>
        <v>358880118.02067477</v>
      </c>
      <c r="H34" s="22" t="s">
        <v>4</v>
      </c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</sheetData>
  <sheetProtection password="DFE9" sheet="1" objects="1" scenarios="1"/>
  <mergeCells count="26">
    <mergeCell ref="B11:D11"/>
    <mergeCell ref="B31:D31"/>
    <mergeCell ref="B28:D28"/>
    <mergeCell ref="B34:F34"/>
    <mergeCell ref="B19:D19"/>
    <mergeCell ref="B13:D13"/>
    <mergeCell ref="B14:D14"/>
    <mergeCell ref="B16:D16"/>
    <mergeCell ref="B17:D17"/>
    <mergeCell ref="B15:D15"/>
    <mergeCell ref="B3:H4"/>
    <mergeCell ref="B9:D9"/>
    <mergeCell ref="B20:D20"/>
    <mergeCell ref="B33:D33"/>
    <mergeCell ref="B21:D21"/>
    <mergeCell ref="B10:D10"/>
    <mergeCell ref="B22:D22"/>
    <mergeCell ref="B24:D24"/>
    <mergeCell ref="B27:D27"/>
    <mergeCell ref="B29:D29"/>
    <mergeCell ref="B30:D30"/>
    <mergeCell ref="B32:H32"/>
    <mergeCell ref="B25:H25"/>
    <mergeCell ref="B23:H23"/>
    <mergeCell ref="B26:D26"/>
    <mergeCell ref="B8:H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I21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28515625" style="3" customWidth="1"/>
    <col min="6" max="6" width="3.28515625" style="3" customWidth="1"/>
    <col min="7" max="7" width="11.2851562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69" t="s">
        <v>108</v>
      </c>
      <c r="C3" s="69"/>
      <c r="D3" s="69"/>
      <c r="E3" s="69"/>
      <c r="F3" s="69"/>
      <c r="G3" s="69"/>
      <c r="H3" s="69"/>
      <c r="I3" s="2"/>
    </row>
    <row r="4" spans="1:9" ht="15" customHeight="1" x14ac:dyDescent="0.25">
      <c r="A4" s="2"/>
      <c r="B4" s="69"/>
      <c r="C4" s="69"/>
      <c r="D4" s="69"/>
      <c r="E4" s="69"/>
      <c r="F4" s="69"/>
      <c r="G4" s="69"/>
      <c r="H4" s="69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83" t="s">
        <v>56</v>
      </c>
      <c r="C8" s="84"/>
      <c r="D8" s="84"/>
      <c r="E8" s="84"/>
      <c r="F8" s="84"/>
      <c r="G8" s="84"/>
      <c r="H8" s="85"/>
      <c r="I8" s="2"/>
    </row>
    <row r="9" spans="1:9" x14ac:dyDescent="0.25">
      <c r="A9" s="2"/>
      <c r="B9" s="70" t="s">
        <v>106</v>
      </c>
      <c r="C9" s="71"/>
      <c r="D9" s="72"/>
      <c r="E9" s="8">
        <f>'Fane 2.1. Økonomisk ramme 2018'!G22</f>
        <v>370568090.0954653</v>
      </c>
      <c r="F9" s="9" t="s">
        <v>4</v>
      </c>
      <c r="G9" s="10"/>
      <c r="H9" s="11"/>
      <c r="I9" s="2"/>
    </row>
    <row r="10" spans="1:9" x14ac:dyDescent="0.25">
      <c r="A10" s="2"/>
      <c r="B10" s="79" t="s">
        <v>46</v>
      </c>
      <c r="C10" s="86"/>
      <c r="D10" s="87"/>
      <c r="E10" s="12">
        <f>(SUM('Fane 2.1. Økonomisk ramme 2018'!E10:E11,'Fane 2.1. Økonomisk ramme 2018'!E15))*(1+'Fane 2.1. Økonomisk ramme 2018'!E18/100)</f>
        <v>7940913.2869530898</v>
      </c>
      <c r="F10" s="9" t="s">
        <v>4</v>
      </c>
      <c r="G10" s="13"/>
      <c r="H10" s="14"/>
      <c r="I10" s="2"/>
    </row>
    <row r="11" spans="1:9" x14ac:dyDescent="0.25">
      <c r="A11" s="2"/>
      <c r="B11" s="73" t="s">
        <v>61</v>
      </c>
      <c r="C11" s="74"/>
      <c r="D11" s="75"/>
      <c r="E11" s="12">
        <f>$E$9*'Fane 2.1. Økonomisk ramme 2018'!E18/100</f>
        <v>6484941.5766706429</v>
      </c>
      <c r="F11" s="9" t="s">
        <v>4</v>
      </c>
      <c r="G11" s="15"/>
      <c r="H11" s="14"/>
      <c r="I11" s="2"/>
    </row>
    <row r="12" spans="1:9" x14ac:dyDescent="0.25">
      <c r="A12" s="2"/>
      <c r="B12" s="73" t="s">
        <v>15</v>
      </c>
      <c r="C12" s="74"/>
      <c r="D12" s="75"/>
      <c r="E12" s="12">
        <f>($E$9-$E$10)*(1+'Fane 2.1. Økonomisk ramme 2018'!E18/100)*'Fane 5. Individuelt eff.krav'!$G$11/100</f>
        <v>2476891.0462390184</v>
      </c>
      <c r="F12" s="9" t="s">
        <v>4</v>
      </c>
      <c r="G12" s="15"/>
      <c r="H12" s="14"/>
      <c r="I12" s="2"/>
    </row>
    <row r="13" spans="1:9" x14ac:dyDescent="0.25">
      <c r="A13" s="2"/>
      <c r="B13" s="40" t="s">
        <v>16</v>
      </c>
      <c r="C13" s="38"/>
      <c r="D13" s="39"/>
      <c r="E13" s="12">
        <f>(('Fane 6. Generelt eff.krav'!G12/('Fane 6. Generelt eff.krav'!G11/100)-'Fane 6. Generelt eff.krav'!G12))*(1+'Fane 2.1. Økonomisk ramme 2018'!E18/100)*'Fane 6. Generelt eff.krav'!G11/100+(('Fane 6. Generelt eff.krav'!G16/('Fane 6. Generelt eff.krav'!G15/100))-'Fane 6. Generelt eff.krav'!G16)*(1+'Fane 2.1. Økonomisk ramme 2018'!E18/100)*'Fane 6. Generelt eff.krav'!G15/100</f>
        <v>6896809.919583193</v>
      </c>
      <c r="F13" s="9" t="s">
        <v>4</v>
      </c>
      <c r="G13" s="16"/>
      <c r="H13" s="17"/>
      <c r="I13" s="2"/>
    </row>
    <row r="14" spans="1:9" x14ac:dyDescent="0.25">
      <c r="A14" s="2"/>
      <c r="B14" s="80" t="s">
        <v>168</v>
      </c>
      <c r="C14" s="81"/>
      <c r="D14" s="82"/>
      <c r="E14" s="18">
        <f>$E$9+$E$11-$E$12-$E$13</f>
        <v>367679330.70631373</v>
      </c>
      <c r="F14" s="19" t="s">
        <v>4</v>
      </c>
      <c r="G14" s="18">
        <f>E14</f>
        <v>367679330.70631373</v>
      </c>
      <c r="H14" s="19" t="s">
        <v>4</v>
      </c>
      <c r="I14" s="2"/>
    </row>
    <row r="15" spans="1:9" x14ac:dyDescent="0.25">
      <c r="A15" s="2"/>
      <c r="B15" s="83" t="s">
        <v>17</v>
      </c>
      <c r="C15" s="84"/>
      <c r="D15" s="84"/>
      <c r="E15" s="84"/>
      <c r="F15" s="84"/>
      <c r="G15" s="84"/>
      <c r="H15" s="85"/>
      <c r="I15" s="2"/>
    </row>
    <row r="16" spans="1:9" ht="15" customHeight="1" x14ac:dyDescent="0.25">
      <c r="A16" s="2"/>
      <c r="B16" s="76" t="s">
        <v>55</v>
      </c>
      <c r="C16" s="77"/>
      <c r="D16" s="78"/>
      <c r="E16" s="18">
        <f>IF('Fane 7. Hist. over el. underdæk'!$G$14&gt;1,'Fane 7. Hist. over el. underdæk'!$G$15,0)</f>
        <v>3927226</v>
      </c>
      <c r="F16" s="19" t="s">
        <v>4</v>
      </c>
      <c r="G16" s="18">
        <f>E16</f>
        <v>3927226</v>
      </c>
      <c r="H16" s="19" t="s">
        <v>4</v>
      </c>
      <c r="I16" s="2"/>
    </row>
    <row r="17" spans="1:9" x14ac:dyDescent="0.25">
      <c r="A17" s="2"/>
      <c r="B17" s="83" t="s">
        <v>107</v>
      </c>
      <c r="C17" s="84"/>
      <c r="D17" s="84"/>
      <c r="E17" s="84"/>
      <c r="F17" s="85"/>
      <c r="G17" s="21">
        <f>G14+G16</f>
        <v>371606556.70631373</v>
      </c>
      <c r="H17" s="22" t="s">
        <v>4</v>
      </c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</sheetData>
  <sheetProtection password="DFE9" sheet="1" objects="1" scenarios="1"/>
  <mergeCells count="10">
    <mergeCell ref="B17:F17"/>
    <mergeCell ref="B3:H4"/>
    <mergeCell ref="B8:H8"/>
    <mergeCell ref="B9:D9"/>
    <mergeCell ref="B10:D10"/>
    <mergeCell ref="B11:D11"/>
    <mergeCell ref="B12:D12"/>
    <mergeCell ref="B14:D14"/>
    <mergeCell ref="B15:H15"/>
    <mergeCell ref="B16:D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1" t="s">
        <v>139</v>
      </c>
      <c r="C3" s="91"/>
      <c r="D3" s="91"/>
      <c r="E3" s="91"/>
      <c r="F3" s="91"/>
      <c r="G3" s="91"/>
      <c r="H3" s="91"/>
      <c r="I3" s="2"/>
    </row>
    <row r="4" spans="1:9" ht="29.25" customHeight="1" x14ac:dyDescent="0.25">
      <c r="A4" s="2"/>
      <c r="B4" s="91"/>
      <c r="C4" s="91"/>
      <c r="D4" s="91"/>
      <c r="E4" s="91"/>
      <c r="F4" s="91"/>
      <c r="G4" s="91"/>
      <c r="H4" s="91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83" t="s">
        <v>141</v>
      </c>
      <c r="C8" s="84"/>
      <c r="D8" s="84"/>
      <c r="E8" s="84"/>
      <c r="F8" s="84"/>
      <c r="G8" s="84"/>
      <c r="H8" s="85"/>
      <c r="I8" s="2"/>
    </row>
    <row r="9" spans="1:9" x14ac:dyDescent="0.25">
      <c r="A9" s="2"/>
      <c r="B9" s="73" t="s">
        <v>110</v>
      </c>
      <c r="C9" s="74"/>
      <c r="D9" s="74"/>
      <c r="E9" s="74"/>
      <c r="F9" s="75"/>
      <c r="G9" s="12">
        <v>122039067.92496116</v>
      </c>
      <c r="H9" s="23" t="s">
        <v>4</v>
      </c>
      <c r="I9" s="2"/>
    </row>
    <row r="10" spans="1:9" x14ac:dyDescent="0.25">
      <c r="A10" s="2"/>
      <c r="B10" s="73" t="s">
        <v>111</v>
      </c>
      <c r="C10" s="74"/>
      <c r="D10" s="74"/>
      <c r="E10" s="74"/>
      <c r="F10" s="75"/>
      <c r="G10" s="12">
        <v>250590890.20806453</v>
      </c>
      <c r="H10" s="23" t="s">
        <v>4</v>
      </c>
      <c r="I10" s="2"/>
    </row>
    <row r="11" spans="1:9" x14ac:dyDescent="0.25">
      <c r="A11" s="2"/>
      <c r="B11" s="73" t="s">
        <v>138</v>
      </c>
      <c r="C11" s="74"/>
      <c r="D11" s="74"/>
      <c r="E11" s="74"/>
      <c r="F11" s="75"/>
      <c r="G11" s="12">
        <v>9241245.372381879</v>
      </c>
      <c r="H11" s="23" t="s">
        <v>4</v>
      </c>
      <c r="I11" s="2"/>
    </row>
    <row r="12" spans="1:9" ht="17.25" customHeight="1" x14ac:dyDescent="0.25">
      <c r="A12" s="2"/>
      <c r="B12" s="88" t="s">
        <v>143</v>
      </c>
      <c r="C12" s="89"/>
      <c r="D12" s="89"/>
      <c r="E12" s="89"/>
      <c r="F12" s="90"/>
      <c r="G12" s="21">
        <f>SUM(G9:G11)</f>
        <v>381871203.50540757</v>
      </c>
      <c r="H12" s="22" t="s">
        <v>4</v>
      </c>
      <c r="I12" s="2"/>
    </row>
    <row r="13" spans="1:9" x14ac:dyDescent="0.25">
      <c r="A13" s="2"/>
      <c r="B13" s="24"/>
      <c r="C13" s="24"/>
      <c r="D13" s="24"/>
      <c r="E13" s="24"/>
      <c r="F13" s="24"/>
      <c r="G13" s="24"/>
      <c r="H13" s="24"/>
      <c r="I13" s="2"/>
    </row>
    <row r="14" spans="1:9" x14ac:dyDescent="0.25">
      <c r="A14" s="2"/>
      <c r="B14" s="25" t="s">
        <v>50</v>
      </c>
      <c r="C14" s="24"/>
      <c r="D14" s="24"/>
      <c r="E14" s="24"/>
      <c r="F14" s="24"/>
      <c r="G14" s="24"/>
      <c r="H14" s="24"/>
      <c r="I14" s="2"/>
    </row>
    <row r="15" spans="1:9" x14ac:dyDescent="0.25">
      <c r="A15" s="2"/>
      <c r="B15" s="25" t="s">
        <v>136</v>
      </c>
      <c r="C15" s="24"/>
      <c r="D15" s="24"/>
      <c r="E15" s="24"/>
      <c r="F15" s="24"/>
      <c r="G15" s="24"/>
      <c r="H15" s="24"/>
      <c r="I15" s="2"/>
    </row>
    <row r="16" spans="1:9" x14ac:dyDescent="0.25">
      <c r="A16" s="2"/>
      <c r="B16" s="25" t="s">
        <v>137</v>
      </c>
      <c r="C16" s="2"/>
      <c r="D16" s="2"/>
      <c r="E16" s="2"/>
      <c r="F16" s="2"/>
      <c r="G16" s="24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5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69" t="s">
        <v>112</v>
      </c>
      <c r="C3" s="69"/>
      <c r="D3" s="69"/>
      <c r="E3" s="69"/>
      <c r="F3" s="69"/>
      <c r="G3" s="69"/>
      <c r="H3" s="69"/>
      <c r="I3" s="2"/>
    </row>
    <row r="4" spans="1:9" ht="15" customHeight="1" x14ac:dyDescent="0.25">
      <c r="A4" s="2"/>
      <c r="B4" s="69"/>
      <c r="C4" s="69"/>
      <c r="D4" s="69"/>
      <c r="E4" s="69"/>
      <c r="F4" s="69"/>
      <c r="G4" s="69"/>
      <c r="H4" s="69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83" t="s">
        <v>113</v>
      </c>
      <c r="C8" s="84"/>
      <c r="D8" s="84"/>
      <c r="E8" s="84"/>
      <c r="F8" s="84"/>
      <c r="G8" s="84"/>
      <c r="H8" s="85"/>
      <c r="I8" s="2"/>
    </row>
    <row r="9" spans="1:9" ht="51.75" customHeight="1" x14ac:dyDescent="0.25">
      <c r="A9" s="2"/>
      <c r="B9" s="76" t="s">
        <v>115</v>
      </c>
      <c r="C9" s="77"/>
      <c r="D9" s="78"/>
      <c r="E9" s="19" t="s">
        <v>114</v>
      </c>
      <c r="F9" s="19"/>
      <c r="G9" s="19" t="s">
        <v>140</v>
      </c>
      <c r="H9" s="19"/>
      <c r="I9" s="2"/>
    </row>
    <row r="10" spans="1:9" x14ac:dyDescent="0.25">
      <c r="A10" s="2"/>
      <c r="B10" s="73" t="s">
        <v>154</v>
      </c>
      <c r="C10" s="74"/>
      <c r="D10" s="74"/>
      <c r="E10" s="100">
        <v>659377.80660000001</v>
      </c>
      <c r="F10" s="23" t="s">
        <v>4</v>
      </c>
      <c r="G10" s="12">
        <v>665738</v>
      </c>
      <c r="H10" s="23" t="s">
        <v>4</v>
      </c>
      <c r="I10" s="2"/>
    </row>
    <row r="11" spans="1:9" x14ac:dyDescent="0.25">
      <c r="A11" s="2"/>
      <c r="B11" s="73" t="s">
        <v>155</v>
      </c>
      <c r="C11" s="74"/>
      <c r="D11" s="74"/>
      <c r="E11" s="100">
        <v>1181274.0360000001</v>
      </c>
      <c r="F11" s="23" t="s">
        <v>4</v>
      </c>
      <c r="G11" s="12">
        <v>979117</v>
      </c>
      <c r="H11" s="23" t="s">
        <v>4</v>
      </c>
      <c r="I11" s="2"/>
    </row>
    <row r="12" spans="1:9" x14ac:dyDescent="0.25">
      <c r="A12" s="2"/>
      <c r="B12" s="73" t="s">
        <v>156</v>
      </c>
      <c r="C12" s="74"/>
      <c r="D12" s="74"/>
      <c r="E12" s="100">
        <v>0</v>
      </c>
      <c r="F12" s="23" t="s">
        <v>4</v>
      </c>
      <c r="G12" s="12">
        <v>0</v>
      </c>
      <c r="H12" s="23" t="s">
        <v>4</v>
      </c>
      <c r="I12" s="2"/>
    </row>
    <row r="13" spans="1:9" x14ac:dyDescent="0.25">
      <c r="A13" s="2"/>
      <c r="B13" s="73" t="s">
        <v>157</v>
      </c>
      <c r="C13" s="74"/>
      <c r="D13" s="74"/>
      <c r="E13" s="100">
        <v>16200.204399999999</v>
      </c>
      <c r="F13" s="23" t="s">
        <v>4</v>
      </c>
      <c r="G13" s="12">
        <v>155915</v>
      </c>
      <c r="H13" s="23" t="s">
        <v>4</v>
      </c>
      <c r="I13" s="2"/>
    </row>
    <row r="14" spans="1:9" x14ac:dyDescent="0.25">
      <c r="A14" s="2"/>
      <c r="B14" s="73" t="s">
        <v>158</v>
      </c>
      <c r="C14" s="74"/>
      <c r="D14" s="74"/>
      <c r="E14" s="100">
        <v>0</v>
      </c>
      <c r="F14" s="23" t="s">
        <v>4</v>
      </c>
      <c r="G14" s="12">
        <v>0</v>
      </c>
      <c r="H14" s="23" t="s">
        <v>4</v>
      </c>
      <c r="I14" s="2"/>
    </row>
    <row r="15" spans="1:9" x14ac:dyDescent="0.25">
      <c r="A15" s="2"/>
      <c r="B15" s="73" t="s">
        <v>159</v>
      </c>
      <c r="C15" s="74"/>
      <c r="D15" s="74"/>
      <c r="E15" s="100">
        <v>6915846.5373999998</v>
      </c>
      <c r="F15" s="23" t="s">
        <v>4</v>
      </c>
      <c r="G15" s="12">
        <v>5912389</v>
      </c>
      <c r="H15" s="23" t="s">
        <v>4</v>
      </c>
      <c r="I15" s="2"/>
    </row>
    <row r="16" spans="1:9" x14ac:dyDescent="0.25">
      <c r="A16" s="2"/>
      <c r="B16" s="73" t="s">
        <v>160</v>
      </c>
      <c r="C16" s="74"/>
      <c r="D16" s="74"/>
      <c r="E16" s="100">
        <v>0</v>
      </c>
      <c r="F16" s="23" t="s">
        <v>4</v>
      </c>
      <c r="G16" s="12">
        <v>0</v>
      </c>
      <c r="H16" s="23" t="s">
        <v>4</v>
      </c>
      <c r="I16" s="2"/>
    </row>
    <row r="17" spans="1:9" x14ac:dyDescent="0.25">
      <c r="A17" s="2"/>
      <c r="B17" s="73" t="s">
        <v>161</v>
      </c>
      <c r="C17" s="74"/>
      <c r="D17" s="74"/>
      <c r="E17" s="100">
        <v>0</v>
      </c>
      <c r="F17" s="23" t="s">
        <v>4</v>
      </c>
      <c r="G17" s="12">
        <v>0</v>
      </c>
      <c r="H17" s="23" t="s">
        <v>4</v>
      </c>
      <c r="I17" s="2"/>
    </row>
    <row r="18" spans="1:9" ht="30" customHeight="1" x14ac:dyDescent="0.25">
      <c r="A18" s="2"/>
      <c r="B18" s="101" t="s">
        <v>180</v>
      </c>
      <c r="C18" s="101"/>
      <c r="D18" s="101"/>
      <c r="E18" s="100">
        <v>352655</v>
      </c>
      <c r="F18" s="23" t="s">
        <v>4</v>
      </c>
      <c r="G18" s="12">
        <v>0</v>
      </c>
      <c r="H18" s="23" t="s">
        <v>4</v>
      </c>
      <c r="I18" s="2"/>
    </row>
    <row r="19" spans="1:9" x14ac:dyDescent="0.25">
      <c r="A19" s="2"/>
      <c r="B19" s="83" t="s">
        <v>134</v>
      </c>
      <c r="C19" s="84"/>
      <c r="D19" s="84"/>
      <c r="E19" s="84"/>
      <c r="F19" s="85"/>
      <c r="G19" s="21">
        <f>SUM(G10:G18)-SUM(E10:E18)</f>
        <v>-1412194.5844000001</v>
      </c>
      <c r="H19" s="22" t="s">
        <v>4</v>
      </c>
      <c r="I19" s="2"/>
    </row>
    <row r="20" spans="1:9" x14ac:dyDescent="0.25">
      <c r="A20" s="2"/>
      <c r="B20" s="83" t="s">
        <v>135</v>
      </c>
      <c r="C20" s="84"/>
      <c r="D20" s="84"/>
      <c r="E20" s="84"/>
      <c r="F20" s="85"/>
      <c r="G20" s="21">
        <f>G19*(1+'Fane 2.1. Økonomisk ramme 2018'!E18/100)</f>
        <v>-1436907.9896270002</v>
      </c>
      <c r="H20" s="22" t="s">
        <v>4</v>
      </c>
      <c r="I20" s="2"/>
    </row>
    <row r="21" spans="1:9" x14ac:dyDescent="0.25">
      <c r="A21" s="2"/>
      <c r="B21" s="25"/>
      <c r="C21" s="24"/>
      <c r="D21" s="24"/>
      <c r="E21" s="24"/>
      <c r="F21" s="24"/>
      <c r="G21" s="24"/>
      <c r="H21" s="24"/>
      <c r="I21" s="2"/>
    </row>
    <row r="22" spans="1:9" x14ac:dyDescent="0.25">
      <c r="A22" s="2"/>
      <c r="B22" s="24"/>
      <c r="C22" s="24"/>
      <c r="D22" s="24"/>
      <c r="E22" s="24"/>
      <c r="F22" s="24"/>
      <c r="G22" s="24"/>
      <c r="H22" s="24"/>
      <c r="I22" s="2"/>
    </row>
    <row r="23" spans="1:9" x14ac:dyDescent="0.25">
      <c r="A23" s="2"/>
      <c r="B23" s="2"/>
      <c r="C23" s="2"/>
      <c r="D23" s="2"/>
      <c r="E23" s="2"/>
      <c r="F23" s="2"/>
      <c r="G23" s="24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</sheetData>
  <sheetProtection password="DFE9" sheet="1" objects="1" scenarios="1"/>
  <mergeCells count="14">
    <mergeCell ref="B20:F20"/>
    <mergeCell ref="B3:H4"/>
    <mergeCell ref="B8:H8"/>
    <mergeCell ref="B19:F19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  <mergeCell ref="B18:D1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I16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5" width="9.140625" style="3"/>
    <col min="6" max="6" width="19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69" t="s">
        <v>71</v>
      </c>
      <c r="C3" s="69"/>
      <c r="D3" s="69"/>
      <c r="E3" s="69"/>
      <c r="F3" s="69"/>
      <c r="G3" s="69"/>
      <c r="H3" s="69"/>
      <c r="I3" s="2"/>
    </row>
    <row r="4" spans="1:9" ht="15" customHeight="1" x14ac:dyDescent="0.25">
      <c r="A4" s="2"/>
      <c r="B4" s="69"/>
      <c r="C4" s="69"/>
      <c r="D4" s="69"/>
      <c r="E4" s="69"/>
      <c r="F4" s="69"/>
      <c r="G4" s="69"/>
      <c r="H4" s="69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83" t="s">
        <v>15</v>
      </c>
      <c r="C8" s="84"/>
      <c r="D8" s="84"/>
      <c r="E8" s="84"/>
      <c r="F8" s="84"/>
      <c r="G8" s="84"/>
      <c r="H8" s="85"/>
      <c r="I8" s="2"/>
    </row>
    <row r="9" spans="1:9" x14ac:dyDescent="0.25">
      <c r="A9" s="2"/>
      <c r="B9" s="73" t="s">
        <v>51</v>
      </c>
      <c r="C9" s="74"/>
      <c r="D9" s="74"/>
      <c r="E9" s="74"/>
      <c r="F9" s="75"/>
      <c r="G9" s="12">
        <f>'Fane 3. Korrigeret grundlag'!G12-'Fane 3. Korrigeret grundlag'!G11+SUM('Fane 2.1. Økonomisk ramme 2018'!E13:E14,'Fane 2.1. Økonomisk ramme 2018'!E16:E17)</f>
        <v>372629958.13302571</v>
      </c>
      <c r="H9" s="23" t="s">
        <v>4</v>
      </c>
      <c r="I9" s="2"/>
    </row>
    <row r="10" spans="1:9" x14ac:dyDescent="0.25">
      <c r="A10" s="2"/>
      <c r="B10" s="40" t="s">
        <v>177</v>
      </c>
      <c r="C10" s="38"/>
      <c r="D10" s="38"/>
      <c r="E10" s="38"/>
      <c r="F10" s="39"/>
      <c r="G10" s="12">
        <v>-6997900.701402612</v>
      </c>
      <c r="H10" s="23" t="s">
        <v>4</v>
      </c>
      <c r="I10" s="2"/>
    </row>
    <row r="11" spans="1:9" x14ac:dyDescent="0.25">
      <c r="A11" s="2"/>
      <c r="B11" s="73" t="s">
        <v>37</v>
      </c>
      <c r="C11" s="74"/>
      <c r="D11" s="74"/>
      <c r="E11" s="74"/>
      <c r="F11" s="75"/>
      <c r="G11" s="26">
        <v>0.67129302772034261</v>
      </c>
      <c r="H11" s="23" t="s">
        <v>38</v>
      </c>
      <c r="I11" s="2"/>
    </row>
    <row r="12" spans="1:9" x14ac:dyDescent="0.25">
      <c r="A12" s="2"/>
      <c r="B12" s="83" t="s">
        <v>15</v>
      </c>
      <c r="C12" s="84"/>
      <c r="D12" s="84"/>
      <c r="E12" s="84"/>
      <c r="F12" s="85"/>
      <c r="G12" s="21">
        <f>($G$9+G10)*(1+'Fane 2.1. Økonomisk ramme 2018'!E18/100)*($G$11/100)</f>
        <v>2497415.6025502807</v>
      </c>
      <c r="H12" s="22" t="s">
        <v>4</v>
      </c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</sheetData>
  <sheetProtection password="DFE9" sheet="1" objects="1" scenarios="1"/>
  <mergeCells count="5">
    <mergeCell ref="B3:H4"/>
    <mergeCell ref="B8:H8"/>
    <mergeCell ref="B12:F12"/>
    <mergeCell ref="B11:F11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21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7109375" style="3" customWidth="1"/>
    <col min="5" max="5" width="9.140625" style="3"/>
    <col min="6" max="6" width="13.570312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69" t="s">
        <v>72</v>
      </c>
      <c r="C3" s="69"/>
      <c r="D3" s="69"/>
      <c r="E3" s="69"/>
      <c r="F3" s="69"/>
      <c r="G3" s="69"/>
      <c r="H3" s="69"/>
      <c r="I3" s="2"/>
    </row>
    <row r="4" spans="1:9" ht="15" customHeight="1" x14ac:dyDescent="0.25">
      <c r="A4" s="2"/>
      <c r="B4" s="69"/>
      <c r="C4" s="69"/>
      <c r="D4" s="69"/>
      <c r="E4" s="69"/>
      <c r="F4" s="69"/>
      <c r="G4" s="69"/>
      <c r="H4" s="69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83" t="s">
        <v>53</v>
      </c>
      <c r="C8" s="84"/>
      <c r="D8" s="84"/>
      <c r="E8" s="84"/>
      <c r="F8" s="84"/>
      <c r="G8" s="84"/>
      <c r="H8" s="85"/>
      <c r="I8" s="2"/>
    </row>
    <row r="9" spans="1:9" x14ac:dyDescent="0.25">
      <c r="A9" s="2"/>
      <c r="B9" s="92" t="s">
        <v>47</v>
      </c>
      <c r="C9" s="93"/>
      <c r="D9" s="93"/>
      <c r="E9" s="93"/>
      <c r="F9" s="94"/>
      <c r="G9" s="12">
        <f>'Fane 3. Korrigeret grundlag'!G9+(SUM('Fane 2.1. Økonomisk ramme 2018'!E13,'Fane 2.1. Økonomisk ramme 2018'!E16))</f>
        <v>122039067.92496116</v>
      </c>
      <c r="H9" s="23" t="s">
        <v>4</v>
      </c>
      <c r="I9" s="2"/>
    </row>
    <row r="10" spans="1:9" x14ac:dyDescent="0.25">
      <c r="A10" s="2"/>
      <c r="B10" s="41" t="s">
        <v>176</v>
      </c>
      <c r="C10" s="42"/>
      <c r="D10" s="42"/>
      <c r="E10" s="42"/>
      <c r="F10" s="43"/>
      <c r="G10" s="12">
        <v>-2440781.3584992234</v>
      </c>
      <c r="H10" s="23" t="s">
        <v>4</v>
      </c>
      <c r="I10" s="2"/>
    </row>
    <row r="11" spans="1:9" x14ac:dyDescent="0.25">
      <c r="A11" s="2"/>
      <c r="B11" s="73" t="s">
        <v>16</v>
      </c>
      <c r="C11" s="74"/>
      <c r="D11" s="74"/>
      <c r="E11" s="74"/>
      <c r="F11" s="75"/>
      <c r="G11" s="27">
        <f>2</f>
        <v>2</v>
      </c>
      <c r="H11" s="23" t="s">
        <v>38</v>
      </c>
      <c r="I11" s="2"/>
    </row>
    <row r="12" spans="1:9" x14ac:dyDescent="0.25">
      <c r="A12" s="2"/>
      <c r="B12" s="80" t="s">
        <v>39</v>
      </c>
      <c r="C12" s="81"/>
      <c r="D12" s="81"/>
      <c r="E12" s="81"/>
      <c r="F12" s="82"/>
      <c r="G12" s="18">
        <f>($G$9+$G$10)*(1+'Fane 2.1. Økonomisk ramme 2018'!E18/100)*$G$11/100</f>
        <v>2433825.1316275005</v>
      </c>
      <c r="H12" s="28" t="s">
        <v>4</v>
      </c>
      <c r="I12" s="2"/>
    </row>
    <row r="13" spans="1:9" x14ac:dyDescent="0.25">
      <c r="A13" s="2"/>
      <c r="B13" s="73" t="s">
        <v>48</v>
      </c>
      <c r="C13" s="74"/>
      <c r="D13" s="74"/>
      <c r="E13" s="74"/>
      <c r="F13" s="75"/>
      <c r="G13" s="12">
        <f xml:space="preserve"> 'Fane 3. Korrigeret grundlag'!G10+SUM('Fane 2.1. Økonomisk ramme 2018'!E14,'Fane 2.1. Økonomisk ramme 2018'!E17)</f>
        <v>250590890.20806453</v>
      </c>
      <c r="H13" s="23" t="s">
        <v>4</v>
      </c>
      <c r="I13" s="2"/>
    </row>
    <row r="14" spans="1:9" x14ac:dyDescent="0.25">
      <c r="A14" s="2"/>
      <c r="B14" s="40" t="s">
        <v>178</v>
      </c>
      <c r="C14" s="38"/>
      <c r="D14" s="38"/>
      <c r="E14" s="38"/>
      <c r="F14" s="39"/>
      <c r="G14" s="12">
        <v>-2269792.2479851451</v>
      </c>
      <c r="H14" s="23" t="s">
        <v>4</v>
      </c>
      <c r="I14" s="2"/>
    </row>
    <row r="15" spans="1:9" x14ac:dyDescent="0.25">
      <c r="A15" s="2"/>
      <c r="B15" s="73" t="s">
        <v>16</v>
      </c>
      <c r="C15" s="74"/>
      <c r="D15" s="74"/>
      <c r="E15" s="74"/>
      <c r="F15" s="75"/>
      <c r="G15" s="26">
        <v>1.77</v>
      </c>
      <c r="H15" s="23" t="s">
        <v>38</v>
      </c>
      <c r="I15" s="2"/>
    </row>
    <row r="16" spans="1:9" x14ac:dyDescent="0.25">
      <c r="A16" s="2"/>
      <c r="B16" s="80" t="s">
        <v>40</v>
      </c>
      <c r="C16" s="81"/>
      <c r="D16" s="81"/>
      <c r="E16" s="81"/>
      <c r="F16" s="82"/>
      <c r="G16" s="18">
        <f>($G$13+$G$14)*(1+'Fane 2.1. Økonomisk ramme 2018'!E18/100)*$G$15/100</f>
        <v>4472200.8939865399</v>
      </c>
      <c r="H16" s="28" t="s">
        <v>4</v>
      </c>
      <c r="I16" s="2"/>
    </row>
    <row r="17" spans="1:9" x14ac:dyDescent="0.25">
      <c r="A17" s="2"/>
      <c r="B17" s="83" t="s">
        <v>52</v>
      </c>
      <c r="C17" s="84"/>
      <c r="D17" s="84"/>
      <c r="E17" s="84"/>
      <c r="F17" s="85"/>
      <c r="G17" s="21">
        <f>G12+G16</f>
        <v>6906026.02561404</v>
      </c>
      <c r="H17" s="22" t="s">
        <v>4</v>
      </c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</sheetData>
  <sheetProtection password="DFE9" sheet="1" objects="1" scenarios="1"/>
  <mergeCells count="9">
    <mergeCell ref="B3:H4"/>
    <mergeCell ref="B8:H8"/>
    <mergeCell ref="B17:F17"/>
    <mergeCell ref="B16:F16"/>
    <mergeCell ref="B15:F15"/>
    <mergeCell ref="B13:F13"/>
    <mergeCell ref="B12:F12"/>
    <mergeCell ref="B11:F11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9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69" t="s">
        <v>73</v>
      </c>
      <c r="C3" s="69"/>
      <c r="D3" s="69"/>
      <c r="E3" s="69"/>
      <c r="F3" s="69"/>
      <c r="G3" s="69"/>
      <c r="H3" s="69"/>
      <c r="I3" s="2"/>
    </row>
    <row r="4" spans="1:9" ht="15" customHeight="1" x14ac:dyDescent="0.25">
      <c r="A4" s="2"/>
      <c r="B4" s="69"/>
      <c r="C4" s="69"/>
      <c r="D4" s="69"/>
      <c r="E4" s="69"/>
      <c r="F4" s="69"/>
      <c r="G4" s="69"/>
      <c r="H4" s="69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83" t="s">
        <v>54</v>
      </c>
      <c r="C8" s="84"/>
      <c r="D8" s="84"/>
      <c r="E8" s="84"/>
      <c r="F8" s="84"/>
      <c r="G8" s="84"/>
      <c r="H8" s="85"/>
      <c r="I8" s="2"/>
    </row>
    <row r="9" spans="1:9" x14ac:dyDescent="0.25">
      <c r="A9" s="2"/>
      <c r="B9" s="73" t="s">
        <v>42</v>
      </c>
      <c r="C9" s="74"/>
      <c r="D9" s="74"/>
      <c r="E9" s="74"/>
      <c r="F9" s="75"/>
      <c r="G9" s="12">
        <v>6881954</v>
      </c>
      <c r="H9" s="23" t="s">
        <v>4</v>
      </c>
      <c r="I9" s="2"/>
    </row>
    <row r="10" spans="1:9" x14ac:dyDescent="0.25">
      <c r="A10" s="2"/>
      <c r="B10" s="73" t="s">
        <v>120</v>
      </c>
      <c r="C10" s="74"/>
      <c r="D10" s="74"/>
      <c r="E10" s="74"/>
      <c r="F10" s="75"/>
      <c r="G10" s="12">
        <v>6881954</v>
      </c>
      <c r="H10" s="23" t="s">
        <v>4</v>
      </c>
      <c r="I10" s="2"/>
    </row>
    <row r="11" spans="1:9" x14ac:dyDescent="0.25">
      <c r="A11" s="2"/>
      <c r="B11" s="95" t="s">
        <v>45</v>
      </c>
      <c r="C11" s="96"/>
      <c r="D11" s="96"/>
      <c r="E11" s="96"/>
      <c r="F11" s="97"/>
      <c r="G11" s="36">
        <f>G9-G10</f>
        <v>0</v>
      </c>
      <c r="H11" s="29" t="s">
        <v>4</v>
      </c>
      <c r="I11" s="2"/>
    </row>
    <row r="12" spans="1:9" x14ac:dyDescent="0.25">
      <c r="A12" s="2"/>
      <c r="B12" s="73" t="s">
        <v>43</v>
      </c>
      <c r="C12" s="74"/>
      <c r="D12" s="74"/>
      <c r="E12" s="74"/>
      <c r="F12" s="75"/>
      <c r="G12" s="12">
        <v>0</v>
      </c>
      <c r="H12" s="23" t="s">
        <v>125</v>
      </c>
      <c r="I12" s="2"/>
    </row>
    <row r="13" spans="1:9" x14ac:dyDescent="0.25">
      <c r="A13" s="2"/>
      <c r="B13" s="80" t="s">
        <v>181</v>
      </c>
      <c r="C13" s="81"/>
      <c r="D13" s="81"/>
      <c r="E13" s="81"/>
      <c r="F13" s="82"/>
      <c r="G13" s="18">
        <v>3927226</v>
      </c>
      <c r="H13" s="28" t="s">
        <v>4</v>
      </c>
      <c r="I13" s="2"/>
    </row>
    <row r="14" spans="1:9" x14ac:dyDescent="0.25">
      <c r="A14" s="2"/>
      <c r="B14" s="73" t="s">
        <v>182</v>
      </c>
      <c r="C14" s="74"/>
      <c r="D14" s="74"/>
      <c r="E14" s="74"/>
      <c r="F14" s="75"/>
      <c r="G14" s="12">
        <v>3</v>
      </c>
      <c r="H14" s="23" t="s">
        <v>125</v>
      </c>
      <c r="I14" s="2"/>
    </row>
    <row r="15" spans="1:9" x14ac:dyDescent="0.25">
      <c r="A15" s="2"/>
      <c r="B15" s="83" t="s">
        <v>41</v>
      </c>
      <c r="C15" s="84"/>
      <c r="D15" s="84"/>
      <c r="E15" s="84"/>
      <c r="F15" s="85"/>
      <c r="G15" s="21">
        <f>G13</f>
        <v>3927226</v>
      </c>
      <c r="H15" s="22" t="s">
        <v>4</v>
      </c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</sheetData>
  <sheetProtection password="DFE9" sheet="1" objects="1" scenarios="1"/>
  <mergeCells count="9">
    <mergeCell ref="B3:H4"/>
    <mergeCell ref="B8:H8"/>
    <mergeCell ref="B15:F15"/>
    <mergeCell ref="B12:F12"/>
    <mergeCell ref="B11:F11"/>
    <mergeCell ref="B10:F10"/>
    <mergeCell ref="B9:F9"/>
    <mergeCell ref="B13:F13"/>
    <mergeCell ref="B14:F1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22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69" t="s">
        <v>74</v>
      </c>
      <c r="C3" s="69"/>
      <c r="D3" s="69"/>
      <c r="E3" s="69"/>
      <c r="F3" s="69"/>
      <c r="G3" s="69"/>
      <c r="H3" s="2"/>
    </row>
    <row r="4" spans="1:8" ht="15" customHeight="1" x14ac:dyDescent="0.25">
      <c r="A4" s="2"/>
      <c r="B4" s="69"/>
      <c r="C4" s="69"/>
      <c r="D4" s="69"/>
      <c r="E4" s="69"/>
      <c r="F4" s="69"/>
      <c r="G4" s="69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83" t="s">
        <v>75</v>
      </c>
      <c r="C8" s="84"/>
      <c r="D8" s="84"/>
      <c r="E8" s="84"/>
      <c r="F8" s="84"/>
      <c r="G8" s="85"/>
      <c r="H8" s="2"/>
    </row>
    <row r="9" spans="1:8" ht="39" customHeight="1" x14ac:dyDescent="0.25">
      <c r="A9" s="2"/>
      <c r="B9" s="44" t="s">
        <v>0</v>
      </c>
      <c r="C9" s="19" t="s">
        <v>1</v>
      </c>
      <c r="D9" s="44" t="s">
        <v>2</v>
      </c>
      <c r="E9" s="44" t="s">
        <v>44</v>
      </c>
      <c r="F9" s="98" t="s">
        <v>3</v>
      </c>
      <c r="G9" s="98"/>
      <c r="H9" s="2"/>
    </row>
    <row r="10" spans="1:8" x14ac:dyDescent="0.25">
      <c r="A10" s="2"/>
      <c r="B10" s="102" t="s">
        <v>146</v>
      </c>
      <c r="C10" s="30">
        <v>2016</v>
      </c>
      <c r="D10" s="30">
        <v>5</v>
      </c>
      <c r="E10" s="12">
        <v>4039874.29</v>
      </c>
      <c r="F10" s="12">
        <f t="shared" ref="F10:F17" si="0">E10/D10</f>
        <v>807974.85800000001</v>
      </c>
      <c r="G10" s="23" t="s">
        <v>4</v>
      </c>
      <c r="H10" s="2"/>
    </row>
    <row r="11" spans="1:8" x14ac:dyDescent="0.25">
      <c r="A11" s="2"/>
      <c r="B11" s="102" t="s">
        <v>147</v>
      </c>
      <c r="C11" s="30">
        <v>2016</v>
      </c>
      <c r="D11" s="30">
        <v>10</v>
      </c>
      <c r="E11" s="12">
        <v>12905099.65</v>
      </c>
      <c r="F11" s="12">
        <f t="shared" si="0"/>
        <v>1290509.9650000001</v>
      </c>
      <c r="G11" s="23" t="s">
        <v>4</v>
      </c>
      <c r="H11" s="2"/>
    </row>
    <row r="12" spans="1:8" ht="26.25" x14ac:dyDescent="0.25">
      <c r="A12" s="2"/>
      <c r="B12" s="102" t="s">
        <v>148</v>
      </c>
      <c r="C12" s="30">
        <v>2016</v>
      </c>
      <c r="D12" s="30">
        <v>10</v>
      </c>
      <c r="E12" s="12">
        <v>7728985.6200000001</v>
      </c>
      <c r="F12" s="12">
        <f t="shared" si="0"/>
        <v>772898.56200000003</v>
      </c>
      <c r="G12" s="23" t="s">
        <v>4</v>
      </c>
      <c r="H12" s="2"/>
    </row>
    <row r="13" spans="1:8" x14ac:dyDescent="0.25">
      <c r="A13" s="2"/>
      <c r="B13" s="102" t="s">
        <v>149</v>
      </c>
      <c r="C13" s="30">
        <v>2016</v>
      </c>
      <c r="D13" s="30">
        <v>20</v>
      </c>
      <c r="E13" s="12">
        <v>21610930.300000001</v>
      </c>
      <c r="F13" s="12">
        <f t="shared" si="0"/>
        <v>1080546.5150000001</v>
      </c>
      <c r="G13" s="23" t="s">
        <v>4</v>
      </c>
      <c r="H13" s="2"/>
    </row>
    <row r="14" spans="1:8" x14ac:dyDescent="0.25">
      <c r="A14" s="2"/>
      <c r="B14" s="102" t="s">
        <v>150</v>
      </c>
      <c r="C14" s="30">
        <v>2016</v>
      </c>
      <c r="D14" s="30">
        <v>20</v>
      </c>
      <c r="E14" s="12">
        <v>2226948.46</v>
      </c>
      <c r="F14" s="12">
        <f t="shared" si="0"/>
        <v>111347.423</v>
      </c>
      <c r="G14" s="23" t="s">
        <v>4</v>
      </c>
      <c r="H14" s="2"/>
    </row>
    <row r="15" spans="1:8" x14ac:dyDescent="0.25">
      <c r="A15" s="2"/>
      <c r="B15" s="102" t="s">
        <v>151</v>
      </c>
      <c r="C15" s="30">
        <v>2016</v>
      </c>
      <c r="D15" s="30">
        <v>50</v>
      </c>
      <c r="E15" s="12">
        <v>30762121.949999999</v>
      </c>
      <c r="F15" s="12">
        <f t="shared" si="0"/>
        <v>615242.43900000001</v>
      </c>
      <c r="G15" s="23" t="s">
        <v>4</v>
      </c>
      <c r="H15" s="2"/>
    </row>
    <row r="16" spans="1:8" ht="26.25" x14ac:dyDescent="0.25">
      <c r="A16" s="2"/>
      <c r="B16" s="102" t="s">
        <v>152</v>
      </c>
      <c r="C16" s="30">
        <v>2016</v>
      </c>
      <c r="D16" s="30">
        <v>50</v>
      </c>
      <c r="E16" s="12">
        <v>8137804.6200000001</v>
      </c>
      <c r="F16" s="12">
        <f t="shared" si="0"/>
        <v>162756.09239999999</v>
      </c>
      <c r="G16" s="23" t="s">
        <v>4</v>
      </c>
      <c r="H16" s="2"/>
    </row>
    <row r="17" spans="1:8" x14ac:dyDescent="0.25">
      <c r="A17" s="2"/>
      <c r="B17" s="102" t="s">
        <v>153</v>
      </c>
      <c r="C17" s="30">
        <v>2016</v>
      </c>
      <c r="D17" s="30">
        <v>75</v>
      </c>
      <c r="E17" s="12">
        <v>205804611.30000001</v>
      </c>
      <c r="F17" s="12">
        <f t="shared" si="0"/>
        <v>2744061.4840000002</v>
      </c>
      <c r="G17" s="23" t="s">
        <v>4</v>
      </c>
      <c r="H17" s="2"/>
    </row>
    <row r="18" spans="1:8" x14ac:dyDescent="0.25">
      <c r="A18" s="2"/>
      <c r="B18" s="83" t="s">
        <v>76</v>
      </c>
      <c r="C18" s="84"/>
      <c r="D18" s="84"/>
      <c r="E18" s="85"/>
      <c r="F18" s="21">
        <f>SUM(F10:F17)</f>
        <v>7585337.3384000007</v>
      </c>
      <c r="G18" s="22" t="s">
        <v>4</v>
      </c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</sheetData>
  <sheetProtection password="DFE9" sheet="1" objects="1" scenarios="1"/>
  <mergeCells count="4">
    <mergeCell ref="B18:E18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5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1" t="s">
        <v>77</v>
      </c>
      <c r="C3" s="91"/>
      <c r="D3" s="91"/>
      <c r="E3" s="91"/>
      <c r="F3" s="91"/>
      <c r="G3" s="91"/>
      <c r="H3" s="91"/>
      <c r="I3" s="2"/>
    </row>
    <row r="4" spans="1:9" ht="15" customHeight="1" x14ac:dyDescent="0.25">
      <c r="A4" s="2"/>
      <c r="B4" s="91"/>
      <c r="C4" s="91"/>
      <c r="D4" s="91"/>
      <c r="E4" s="91"/>
      <c r="F4" s="91"/>
      <c r="G4" s="91"/>
      <c r="H4" s="91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169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73" t="s">
        <v>78</v>
      </c>
      <c r="C9" s="74"/>
      <c r="D9" s="74"/>
      <c r="E9" s="74"/>
      <c r="F9" s="75"/>
      <c r="G9" s="12">
        <v>8031659</v>
      </c>
      <c r="H9" s="23" t="s">
        <v>4</v>
      </c>
      <c r="I9" s="2"/>
    </row>
    <row r="10" spans="1:9" x14ac:dyDescent="0.25">
      <c r="A10" s="2"/>
      <c r="B10" s="73" t="s">
        <v>183</v>
      </c>
      <c r="C10" s="74"/>
      <c r="D10" s="74"/>
      <c r="E10" s="74"/>
      <c r="F10" s="75"/>
      <c r="G10" s="12">
        <v>3927226</v>
      </c>
      <c r="H10" s="23" t="s">
        <v>4</v>
      </c>
      <c r="I10" s="2"/>
    </row>
    <row r="11" spans="1:9" x14ac:dyDescent="0.25">
      <c r="A11" s="2"/>
      <c r="B11" s="73" t="s">
        <v>79</v>
      </c>
      <c r="C11" s="74"/>
      <c r="D11" s="74"/>
      <c r="E11" s="74"/>
      <c r="F11" s="75"/>
      <c r="G11" s="12">
        <v>11400226</v>
      </c>
      <c r="H11" s="23" t="s">
        <v>4</v>
      </c>
      <c r="I11" s="2"/>
    </row>
    <row r="12" spans="1:9" x14ac:dyDescent="0.25">
      <c r="A12" s="2"/>
      <c r="B12" s="83" t="s">
        <v>170</v>
      </c>
      <c r="C12" s="84"/>
      <c r="D12" s="84"/>
      <c r="E12" s="84"/>
      <c r="F12" s="85"/>
      <c r="G12" s="21">
        <f>G9+G10-G11</f>
        <v>558659</v>
      </c>
      <c r="H12" s="22" t="s">
        <v>4</v>
      </c>
      <c r="I12" s="2"/>
    </row>
    <row r="13" spans="1:9" x14ac:dyDescent="0.25">
      <c r="A13" s="2"/>
      <c r="B13" s="24"/>
      <c r="C13" s="24"/>
      <c r="D13" s="24"/>
      <c r="E13" s="24"/>
      <c r="F13" s="24"/>
      <c r="G13" s="24"/>
      <c r="H13" s="24"/>
      <c r="I13" s="2"/>
    </row>
    <row r="14" spans="1:9" x14ac:dyDescent="0.25">
      <c r="A14" s="2"/>
      <c r="B14" s="24"/>
      <c r="C14" s="24"/>
      <c r="D14" s="24"/>
      <c r="E14" s="24"/>
      <c r="F14" s="24"/>
      <c r="G14" s="24"/>
      <c r="H14" s="24"/>
      <c r="I14" s="2"/>
    </row>
    <row r="15" spans="1:9" x14ac:dyDescent="0.25">
      <c r="A15" s="2"/>
      <c r="B15" s="88" t="s">
        <v>171</v>
      </c>
      <c r="C15" s="89"/>
      <c r="D15" s="89"/>
      <c r="E15" s="89"/>
      <c r="F15" s="89"/>
      <c r="G15" s="89"/>
      <c r="H15" s="90"/>
      <c r="I15" s="2"/>
    </row>
    <row r="16" spans="1:9" x14ac:dyDescent="0.25">
      <c r="A16" s="2"/>
      <c r="B16" s="73" t="s">
        <v>80</v>
      </c>
      <c r="C16" s="74"/>
      <c r="D16" s="74"/>
      <c r="E16" s="74"/>
      <c r="F16" s="75"/>
      <c r="G16" s="12">
        <v>24939657</v>
      </c>
      <c r="H16" s="23" t="s">
        <v>4</v>
      </c>
      <c r="I16" s="2"/>
    </row>
    <row r="17" spans="1:9" x14ac:dyDescent="0.25">
      <c r="A17" s="2"/>
      <c r="B17" s="73" t="s">
        <v>81</v>
      </c>
      <c r="C17" s="74"/>
      <c r="D17" s="74"/>
      <c r="E17" s="74"/>
      <c r="F17" s="75"/>
      <c r="G17" s="12">
        <v>30700000</v>
      </c>
      <c r="H17" s="23" t="s">
        <v>4</v>
      </c>
      <c r="I17" s="2"/>
    </row>
    <row r="18" spans="1:9" x14ac:dyDescent="0.25">
      <c r="A18" s="2"/>
      <c r="B18" s="83" t="s">
        <v>171</v>
      </c>
      <c r="C18" s="84"/>
      <c r="D18" s="84"/>
      <c r="E18" s="84"/>
      <c r="F18" s="85"/>
      <c r="G18" s="21">
        <f>G16-G17</f>
        <v>-5760343</v>
      </c>
      <c r="H18" s="22" t="s">
        <v>4</v>
      </c>
      <c r="I18" s="2"/>
    </row>
    <row r="19" spans="1:9" x14ac:dyDescent="0.25">
      <c r="A19" s="2"/>
      <c r="B19" s="24"/>
      <c r="C19" s="24"/>
      <c r="D19" s="24"/>
      <c r="E19" s="24"/>
      <c r="F19" s="24"/>
      <c r="G19" s="24"/>
      <c r="H19" s="24"/>
      <c r="I19" s="2"/>
    </row>
    <row r="20" spans="1:9" x14ac:dyDescent="0.25">
      <c r="A20" s="2"/>
      <c r="B20" s="24"/>
      <c r="C20" s="24"/>
      <c r="D20" s="24"/>
      <c r="E20" s="24"/>
      <c r="F20" s="24"/>
      <c r="G20" s="24"/>
      <c r="H20" s="24"/>
      <c r="I20" s="2"/>
    </row>
    <row r="21" spans="1:9" x14ac:dyDescent="0.25">
      <c r="A21" s="2"/>
      <c r="B21" s="88" t="s">
        <v>172</v>
      </c>
      <c r="C21" s="89"/>
      <c r="D21" s="89"/>
      <c r="E21" s="89"/>
      <c r="F21" s="89"/>
      <c r="G21" s="89"/>
      <c r="H21" s="90"/>
      <c r="I21" s="2"/>
    </row>
    <row r="22" spans="1:9" x14ac:dyDescent="0.25">
      <c r="A22" s="2"/>
      <c r="B22" s="73" t="s">
        <v>82</v>
      </c>
      <c r="C22" s="74"/>
      <c r="D22" s="74"/>
      <c r="E22" s="74"/>
      <c r="F22" s="75"/>
      <c r="G22" s="12">
        <v>194637</v>
      </c>
      <c r="H22" s="23" t="s">
        <v>4</v>
      </c>
      <c r="I22" s="2"/>
    </row>
    <row r="23" spans="1:9" x14ac:dyDescent="0.25">
      <c r="A23" s="2"/>
      <c r="B23" s="73" t="s">
        <v>83</v>
      </c>
      <c r="C23" s="74"/>
      <c r="D23" s="74"/>
      <c r="E23" s="74"/>
      <c r="F23" s="75"/>
      <c r="G23" s="12">
        <v>100000</v>
      </c>
      <c r="H23" s="23" t="s">
        <v>4</v>
      </c>
      <c r="I23" s="2"/>
    </row>
    <row r="24" spans="1:9" x14ac:dyDescent="0.25">
      <c r="A24" s="2"/>
      <c r="B24" s="83" t="s">
        <v>172</v>
      </c>
      <c r="C24" s="84"/>
      <c r="D24" s="84"/>
      <c r="E24" s="84"/>
      <c r="F24" s="85"/>
      <c r="G24" s="21">
        <f>G22-G23</f>
        <v>94637</v>
      </c>
      <c r="H24" s="22" t="s">
        <v>4</v>
      </c>
      <c r="I24" s="2"/>
    </row>
    <row r="25" spans="1:9" ht="15" customHeight="1" x14ac:dyDescent="0.25">
      <c r="A25" s="2"/>
      <c r="B25" s="24"/>
      <c r="C25" s="24"/>
      <c r="D25" s="24"/>
      <c r="E25" s="24"/>
      <c r="F25" s="24"/>
      <c r="G25" s="24"/>
      <c r="H25" s="24"/>
      <c r="I25" s="2"/>
    </row>
    <row r="26" spans="1:9" x14ac:dyDescent="0.25">
      <c r="A26" s="2"/>
      <c r="B26" s="24"/>
      <c r="C26" s="24"/>
      <c r="D26" s="24"/>
      <c r="E26" s="24"/>
      <c r="F26" s="24"/>
      <c r="G26" s="24"/>
      <c r="H26" s="24"/>
      <c r="I26" s="2"/>
    </row>
    <row r="27" spans="1:9" ht="15" customHeight="1" x14ac:dyDescent="0.25">
      <c r="A27" s="2"/>
      <c r="B27" s="88" t="s">
        <v>173</v>
      </c>
      <c r="C27" s="89"/>
      <c r="D27" s="89"/>
      <c r="E27" s="89"/>
      <c r="F27" s="89"/>
      <c r="G27" s="89"/>
      <c r="H27" s="90"/>
      <c r="I27" s="2"/>
    </row>
    <row r="28" spans="1:9" ht="29.25" customHeight="1" x14ac:dyDescent="0.25">
      <c r="A28" s="2"/>
      <c r="B28" s="70" t="s">
        <v>84</v>
      </c>
      <c r="C28" s="71"/>
      <c r="D28" s="71"/>
      <c r="E28" s="71"/>
      <c r="F28" s="72"/>
      <c r="G28" s="12">
        <v>0</v>
      </c>
      <c r="H28" s="23" t="s">
        <v>4</v>
      </c>
      <c r="I28" s="2"/>
    </row>
    <row r="29" spans="1:9" x14ac:dyDescent="0.25">
      <c r="A29" s="2"/>
      <c r="B29" s="73" t="s">
        <v>85</v>
      </c>
      <c r="C29" s="74"/>
      <c r="D29" s="74"/>
      <c r="E29" s="74"/>
      <c r="F29" s="75"/>
      <c r="G29" s="12">
        <v>354000</v>
      </c>
      <c r="H29" s="23" t="s">
        <v>4</v>
      </c>
      <c r="I29" s="2"/>
    </row>
    <row r="30" spans="1:9" ht="15" customHeight="1" x14ac:dyDescent="0.25">
      <c r="A30" s="2"/>
      <c r="B30" s="88" t="s">
        <v>173</v>
      </c>
      <c r="C30" s="89"/>
      <c r="D30" s="89"/>
      <c r="E30" s="89"/>
      <c r="F30" s="90"/>
      <c r="G30" s="21">
        <f>G28-G29</f>
        <v>-354000</v>
      </c>
      <c r="H30" s="22" t="s">
        <v>4</v>
      </c>
      <c r="I30" s="2"/>
    </row>
    <row r="31" spans="1:9" x14ac:dyDescent="0.25">
      <c r="A31" s="2"/>
      <c r="B31" s="24"/>
      <c r="C31" s="24"/>
      <c r="D31" s="24"/>
      <c r="E31" s="24"/>
      <c r="F31" s="24"/>
      <c r="G31" s="24"/>
      <c r="H31" s="24"/>
      <c r="I31" s="2"/>
    </row>
    <row r="32" spans="1:9" x14ac:dyDescent="0.25">
      <c r="A32" s="2"/>
      <c r="B32" s="24"/>
      <c r="C32" s="24"/>
      <c r="D32" s="24"/>
      <c r="E32" s="24"/>
      <c r="F32" s="24"/>
      <c r="G32" s="24"/>
      <c r="H32" s="24"/>
      <c r="I32" s="2"/>
    </row>
    <row r="33" spans="1:9" x14ac:dyDescent="0.25">
      <c r="A33" s="2"/>
      <c r="B33" s="88" t="s">
        <v>86</v>
      </c>
      <c r="C33" s="89"/>
      <c r="D33" s="89"/>
      <c r="E33" s="89"/>
      <c r="F33" s="89"/>
      <c r="G33" s="89"/>
      <c r="H33" s="90"/>
      <c r="I33" s="2"/>
    </row>
    <row r="34" spans="1:9" x14ac:dyDescent="0.25">
      <c r="A34" s="2"/>
      <c r="B34" s="73" t="s">
        <v>87</v>
      </c>
      <c r="C34" s="74"/>
      <c r="D34" s="74"/>
      <c r="E34" s="74"/>
      <c r="F34" s="75"/>
      <c r="G34" s="12">
        <f>'Fane 8. Gen. inv. i 2016'!F18</f>
        <v>7585337.3384000007</v>
      </c>
      <c r="H34" s="23" t="s">
        <v>4</v>
      </c>
      <c r="I34" s="2"/>
    </row>
    <row r="35" spans="1:9" x14ac:dyDescent="0.25">
      <c r="A35" s="2"/>
      <c r="B35" s="73" t="s">
        <v>88</v>
      </c>
      <c r="C35" s="74"/>
      <c r="D35" s="74"/>
      <c r="E35" s="74"/>
      <c r="F35" s="75"/>
      <c r="G35" s="12">
        <v>6461306.666666667</v>
      </c>
      <c r="H35" s="23" t="s">
        <v>4</v>
      </c>
      <c r="I35" s="2"/>
    </row>
    <row r="36" spans="1:9" x14ac:dyDescent="0.25">
      <c r="A36" s="2"/>
      <c r="B36" s="83" t="s">
        <v>86</v>
      </c>
      <c r="C36" s="84"/>
      <c r="D36" s="84"/>
      <c r="E36" s="84"/>
      <c r="F36" s="85"/>
      <c r="G36" s="21">
        <f>G34-G35</f>
        <v>1124030.6717333337</v>
      </c>
      <c r="H36" s="22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</sheetData>
  <sheetProtection password="DFE9" sheet="1" objects="1" scenarios="1"/>
  <mergeCells count="22">
    <mergeCell ref="B22:F22"/>
    <mergeCell ref="B23:F23"/>
    <mergeCell ref="B15:H15"/>
    <mergeCell ref="B16:F16"/>
    <mergeCell ref="B17:F17"/>
    <mergeCell ref="B18:F18"/>
    <mergeCell ref="B21:H21"/>
    <mergeCell ref="B3:H4"/>
    <mergeCell ref="B8:H8"/>
    <mergeCell ref="B12:F12"/>
    <mergeCell ref="B11:F11"/>
    <mergeCell ref="B9:F9"/>
    <mergeCell ref="B10:F10"/>
    <mergeCell ref="B35:F35"/>
    <mergeCell ref="B36:F36"/>
    <mergeCell ref="B27:H27"/>
    <mergeCell ref="B30:F30"/>
    <mergeCell ref="B24:F24"/>
    <mergeCell ref="B33:H33"/>
    <mergeCell ref="B34:F34"/>
    <mergeCell ref="B28:F28"/>
    <mergeCell ref="B29:F2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1" t="s">
        <v>89</v>
      </c>
      <c r="C3" s="91"/>
      <c r="D3" s="91"/>
      <c r="E3" s="91"/>
      <c r="F3" s="91"/>
      <c r="G3" s="91"/>
      <c r="H3" s="91"/>
      <c r="I3" s="2"/>
    </row>
    <row r="4" spans="1:9" ht="15" customHeight="1" x14ac:dyDescent="0.25">
      <c r="A4" s="2"/>
      <c r="B4" s="91"/>
      <c r="C4" s="91"/>
      <c r="D4" s="91"/>
      <c r="E4" s="91"/>
      <c r="F4" s="91"/>
      <c r="G4" s="91"/>
      <c r="H4" s="91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83" t="s">
        <v>90</v>
      </c>
      <c r="C8" s="84"/>
      <c r="D8" s="84"/>
      <c r="E8" s="84"/>
      <c r="F8" s="84"/>
      <c r="G8" s="84"/>
      <c r="H8" s="85"/>
      <c r="I8" s="2"/>
    </row>
    <row r="9" spans="1:9" x14ac:dyDescent="0.25">
      <c r="A9" s="2"/>
      <c r="B9" s="80" t="s">
        <v>91</v>
      </c>
      <c r="C9" s="81"/>
      <c r="D9" s="81"/>
      <c r="E9" s="81"/>
      <c r="F9" s="82"/>
      <c r="G9" s="18">
        <v>379364328.15347612</v>
      </c>
      <c r="H9" s="28" t="s">
        <v>4</v>
      </c>
      <c r="I9" s="2"/>
    </row>
    <row r="10" spans="1:9" x14ac:dyDescent="0.25">
      <c r="A10" s="2"/>
      <c r="B10" s="83" t="s">
        <v>92</v>
      </c>
      <c r="C10" s="84"/>
      <c r="D10" s="84"/>
      <c r="E10" s="84"/>
      <c r="F10" s="84"/>
      <c r="G10" s="84"/>
      <c r="H10" s="85"/>
      <c r="I10" s="2"/>
    </row>
    <row r="11" spans="1:9" x14ac:dyDescent="0.25">
      <c r="A11" s="2"/>
      <c r="B11" s="73" t="s">
        <v>19</v>
      </c>
      <c r="C11" s="74"/>
      <c r="D11" s="75"/>
      <c r="E11" s="12">
        <v>159075898</v>
      </c>
      <c r="F11" s="23" t="s">
        <v>4</v>
      </c>
      <c r="G11" s="20"/>
      <c r="H11" s="31"/>
      <c r="I11" s="2"/>
    </row>
    <row r="12" spans="1:9" x14ac:dyDescent="0.25">
      <c r="A12" s="2"/>
      <c r="B12" s="73" t="s">
        <v>93</v>
      </c>
      <c r="C12" s="74"/>
      <c r="D12" s="75"/>
      <c r="E12" s="12">
        <v>31598427</v>
      </c>
      <c r="F12" s="23" t="s">
        <v>4</v>
      </c>
      <c r="G12" s="15"/>
      <c r="H12" s="32"/>
      <c r="I12" s="2"/>
    </row>
    <row r="13" spans="1:9" x14ac:dyDescent="0.25">
      <c r="A13" s="2"/>
      <c r="B13" s="73" t="s">
        <v>94</v>
      </c>
      <c r="C13" s="74"/>
      <c r="D13" s="75"/>
      <c r="E13" s="12">
        <v>592194</v>
      </c>
      <c r="F13" s="23" t="s">
        <v>4</v>
      </c>
      <c r="G13" s="15"/>
      <c r="H13" s="32"/>
      <c r="I13" s="2"/>
    </row>
    <row r="14" spans="1:9" x14ac:dyDescent="0.25">
      <c r="A14" s="2"/>
      <c r="B14" s="73" t="s">
        <v>95</v>
      </c>
      <c r="C14" s="74"/>
      <c r="D14" s="75"/>
      <c r="E14" s="12">
        <v>15277280</v>
      </c>
      <c r="F14" s="23" t="s">
        <v>4</v>
      </c>
      <c r="G14" s="15"/>
      <c r="H14" s="32"/>
      <c r="I14" s="2"/>
    </row>
    <row r="15" spans="1:9" x14ac:dyDescent="0.25">
      <c r="A15" s="2"/>
      <c r="B15" s="80" t="s">
        <v>20</v>
      </c>
      <c r="C15" s="81"/>
      <c r="D15" s="82"/>
      <c r="E15" s="18">
        <f>SUM(E11:E14)</f>
        <v>206543799</v>
      </c>
      <c r="F15" s="28" t="s">
        <v>4</v>
      </c>
      <c r="G15" s="15"/>
      <c r="H15" s="32"/>
      <c r="I15" s="2"/>
    </row>
    <row r="16" spans="1:9" x14ac:dyDescent="0.25">
      <c r="A16" s="2"/>
      <c r="B16" s="73" t="s">
        <v>21</v>
      </c>
      <c r="C16" s="74"/>
      <c r="D16" s="75"/>
      <c r="E16" s="12">
        <v>15201888.65</v>
      </c>
      <c r="F16" s="23" t="s">
        <v>4</v>
      </c>
      <c r="G16" s="15"/>
      <c r="H16" s="32"/>
      <c r="I16" s="2"/>
    </row>
    <row r="17" spans="1:9" x14ac:dyDescent="0.25">
      <c r="A17" s="2"/>
      <c r="B17" s="73" t="s">
        <v>22</v>
      </c>
      <c r="C17" s="74"/>
      <c r="D17" s="75"/>
      <c r="E17" s="12">
        <v>50350</v>
      </c>
      <c r="F17" s="23" t="s">
        <v>4</v>
      </c>
      <c r="G17" s="15"/>
      <c r="H17" s="32"/>
      <c r="I17" s="2"/>
    </row>
    <row r="18" spans="1:9" x14ac:dyDescent="0.25">
      <c r="A18" s="2"/>
      <c r="B18" s="73" t="s">
        <v>23</v>
      </c>
      <c r="C18" s="74"/>
      <c r="D18" s="75"/>
      <c r="E18" s="12">
        <v>0</v>
      </c>
      <c r="F18" s="23" t="s">
        <v>4</v>
      </c>
      <c r="G18" s="15"/>
      <c r="H18" s="32"/>
      <c r="I18" s="2"/>
    </row>
    <row r="19" spans="1:9" x14ac:dyDescent="0.25">
      <c r="A19" s="2"/>
      <c r="B19" s="80" t="s">
        <v>24</v>
      </c>
      <c r="C19" s="81"/>
      <c r="D19" s="82"/>
      <c r="E19" s="18">
        <f>SUM(E16:E18)</f>
        <v>15252238.65</v>
      </c>
      <c r="F19" s="28" t="s">
        <v>4</v>
      </c>
      <c r="G19" s="15"/>
      <c r="H19" s="32"/>
      <c r="I19" s="2"/>
    </row>
    <row r="20" spans="1:9" ht="29.25" customHeight="1" x14ac:dyDescent="0.25">
      <c r="A20" s="2"/>
      <c r="B20" s="70" t="s">
        <v>25</v>
      </c>
      <c r="C20" s="71"/>
      <c r="D20" s="72"/>
      <c r="E20" s="12">
        <v>-41645182</v>
      </c>
      <c r="F20" s="23" t="s">
        <v>4</v>
      </c>
      <c r="G20" s="15"/>
      <c r="H20" s="32"/>
      <c r="I20" s="2"/>
    </row>
    <row r="21" spans="1:9" ht="30.75" customHeight="1" x14ac:dyDescent="0.25">
      <c r="A21" s="2"/>
      <c r="B21" s="70" t="s">
        <v>26</v>
      </c>
      <c r="C21" s="71"/>
      <c r="D21" s="72"/>
      <c r="E21" s="12">
        <v>-78220803</v>
      </c>
      <c r="F21" s="23" t="s">
        <v>4</v>
      </c>
      <c r="G21" s="15"/>
      <c r="H21" s="32"/>
      <c r="I21" s="2"/>
    </row>
    <row r="22" spans="1:9" x14ac:dyDescent="0.25">
      <c r="A22" s="2"/>
      <c r="B22" s="73" t="s">
        <v>27</v>
      </c>
      <c r="C22" s="74"/>
      <c r="D22" s="75"/>
      <c r="E22" s="12">
        <v>-129566213</v>
      </c>
      <c r="F22" s="23" t="s">
        <v>4</v>
      </c>
      <c r="G22" s="15"/>
      <c r="H22" s="32"/>
      <c r="I22" s="2"/>
    </row>
    <row r="23" spans="1:9" x14ac:dyDescent="0.25">
      <c r="A23" s="2"/>
      <c r="B23" s="73" t="s">
        <v>28</v>
      </c>
      <c r="C23" s="74"/>
      <c r="D23" s="75"/>
      <c r="E23" s="12">
        <v>0</v>
      </c>
      <c r="F23" s="23" t="s">
        <v>4</v>
      </c>
      <c r="G23" s="15"/>
      <c r="H23" s="32"/>
      <c r="I23" s="2"/>
    </row>
    <row r="24" spans="1:9" ht="30" customHeight="1" x14ac:dyDescent="0.25">
      <c r="A24" s="2"/>
      <c r="B24" s="70" t="s">
        <v>29</v>
      </c>
      <c r="C24" s="71"/>
      <c r="D24" s="72"/>
      <c r="E24" s="12">
        <v>0</v>
      </c>
      <c r="F24" s="23" t="s">
        <v>4</v>
      </c>
      <c r="G24" s="15"/>
      <c r="H24" s="32"/>
      <c r="I24" s="2"/>
    </row>
    <row r="25" spans="1:9" ht="30" customHeight="1" x14ac:dyDescent="0.25">
      <c r="A25" s="2"/>
      <c r="B25" s="70" t="s">
        <v>30</v>
      </c>
      <c r="C25" s="71"/>
      <c r="D25" s="72"/>
      <c r="E25" s="12">
        <v>0</v>
      </c>
      <c r="F25" s="23" t="s">
        <v>4</v>
      </c>
      <c r="G25" s="15"/>
      <c r="H25" s="32"/>
      <c r="I25" s="2"/>
    </row>
    <row r="26" spans="1:9" ht="30" customHeight="1" x14ac:dyDescent="0.25">
      <c r="A26" s="2"/>
      <c r="B26" s="70" t="s">
        <v>31</v>
      </c>
      <c r="C26" s="71"/>
      <c r="D26" s="72"/>
      <c r="E26" s="12">
        <v>0</v>
      </c>
      <c r="F26" s="23" t="s">
        <v>4</v>
      </c>
      <c r="G26" s="15"/>
      <c r="H26" s="32"/>
      <c r="I26" s="2"/>
    </row>
    <row r="27" spans="1:9" x14ac:dyDescent="0.25">
      <c r="A27" s="2"/>
      <c r="B27" s="80" t="s">
        <v>32</v>
      </c>
      <c r="C27" s="81"/>
      <c r="D27" s="82"/>
      <c r="E27" s="18">
        <f>SUM(E20:E26)</f>
        <v>-249432198</v>
      </c>
      <c r="F27" s="28" t="s">
        <v>4</v>
      </c>
      <c r="G27" s="16"/>
      <c r="H27" s="33"/>
      <c r="I27" s="2"/>
    </row>
    <row r="28" spans="1:9" x14ac:dyDescent="0.25">
      <c r="A28" s="2"/>
      <c r="B28" s="80" t="s">
        <v>33</v>
      </c>
      <c r="C28" s="81"/>
      <c r="D28" s="82"/>
      <c r="E28" s="18">
        <f>E15+E19+E27</f>
        <v>-27636160.349999994</v>
      </c>
      <c r="F28" s="28" t="s">
        <v>4</v>
      </c>
      <c r="G28" s="1">
        <f>IF(E28&lt;0,0,-E28)</f>
        <v>0</v>
      </c>
      <c r="H28" s="28" t="s">
        <v>4</v>
      </c>
      <c r="I28" s="2"/>
    </row>
    <row r="29" spans="1:9" x14ac:dyDescent="0.25">
      <c r="A29" s="2"/>
      <c r="B29" s="83" t="s">
        <v>96</v>
      </c>
      <c r="C29" s="84"/>
      <c r="D29" s="84"/>
      <c r="E29" s="84"/>
      <c r="F29" s="84"/>
      <c r="G29" s="84"/>
      <c r="H29" s="85"/>
      <c r="I29" s="2"/>
    </row>
    <row r="30" spans="1:9" x14ac:dyDescent="0.25">
      <c r="A30" s="2"/>
      <c r="B30" s="80" t="s">
        <v>96</v>
      </c>
      <c r="C30" s="81"/>
      <c r="D30" s="82"/>
      <c r="E30" s="18">
        <v>0</v>
      </c>
      <c r="F30" s="28" t="s">
        <v>4</v>
      </c>
      <c r="G30" s="18">
        <f>-$E$30</f>
        <v>0</v>
      </c>
      <c r="H30" s="28" t="s">
        <v>4</v>
      </c>
      <c r="I30" s="2"/>
    </row>
    <row r="31" spans="1:9" x14ac:dyDescent="0.25">
      <c r="A31" s="2"/>
      <c r="B31" s="99" t="s">
        <v>57</v>
      </c>
      <c r="C31" s="84"/>
      <c r="D31" s="84"/>
      <c r="E31" s="84"/>
      <c r="F31" s="84"/>
      <c r="G31" s="84"/>
      <c r="H31" s="85"/>
      <c r="I31" s="2"/>
    </row>
    <row r="32" spans="1:9" ht="30" customHeight="1" x14ac:dyDescent="0.25">
      <c r="A32" s="2"/>
      <c r="B32" s="70" t="s">
        <v>58</v>
      </c>
      <c r="C32" s="71"/>
      <c r="D32" s="72"/>
      <c r="E32" s="12">
        <v>371590231.89999998</v>
      </c>
      <c r="F32" s="23" t="s">
        <v>4</v>
      </c>
      <c r="G32" s="20"/>
      <c r="H32" s="31"/>
      <c r="I32" s="2"/>
    </row>
    <row r="33" spans="1:9" x14ac:dyDescent="0.25">
      <c r="A33" s="2"/>
      <c r="B33" s="73" t="s">
        <v>34</v>
      </c>
      <c r="C33" s="74"/>
      <c r="D33" s="75"/>
      <c r="E33" s="12">
        <v>0</v>
      </c>
      <c r="F33" s="23" t="s">
        <v>4</v>
      </c>
      <c r="G33" s="15"/>
      <c r="H33" s="32"/>
      <c r="I33" s="2"/>
    </row>
    <row r="34" spans="1:9" ht="43.5" customHeight="1" x14ac:dyDescent="0.25">
      <c r="A34" s="2"/>
      <c r="B34" s="70" t="s">
        <v>35</v>
      </c>
      <c r="C34" s="71"/>
      <c r="D34" s="72"/>
      <c r="E34" s="12">
        <v>19052278</v>
      </c>
      <c r="F34" s="23" t="s">
        <v>4</v>
      </c>
      <c r="G34" s="16"/>
      <c r="H34" s="33"/>
      <c r="I34" s="2"/>
    </row>
    <row r="35" spans="1:9" x14ac:dyDescent="0.25">
      <c r="A35" s="2"/>
      <c r="B35" s="80" t="s">
        <v>36</v>
      </c>
      <c r="C35" s="81"/>
      <c r="D35" s="82"/>
      <c r="E35" s="18">
        <f>SUM(E32:E34)</f>
        <v>390642509.89999998</v>
      </c>
      <c r="F35" s="28" t="s">
        <v>4</v>
      </c>
      <c r="G35" s="18">
        <f>-E35</f>
        <v>-390642509.89999998</v>
      </c>
      <c r="H35" s="28" t="s">
        <v>4</v>
      </c>
      <c r="I35" s="2"/>
    </row>
    <row r="36" spans="1:9" x14ac:dyDescent="0.25">
      <c r="A36" s="2"/>
      <c r="B36" s="83" t="s">
        <v>97</v>
      </c>
      <c r="C36" s="84"/>
      <c r="D36" s="84"/>
      <c r="E36" s="84"/>
      <c r="F36" s="85"/>
      <c r="G36" s="21">
        <f>$G$9+$G$28+$G$30+$G$35</f>
        <v>-11278181.746523857</v>
      </c>
      <c r="H36" s="22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69" t="s">
        <v>126</v>
      </c>
      <c r="C3" s="69"/>
      <c r="D3" s="69"/>
      <c r="E3" s="69"/>
      <c r="F3" s="69"/>
      <c r="G3" s="69"/>
      <c r="H3" s="2"/>
    </row>
    <row r="4" spans="1:8" ht="15" customHeight="1" x14ac:dyDescent="0.25">
      <c r="A4" s="2"/>
      <c r="B4" s="69"/>
      <c r="C4" s="69"/>
      <c r="D4" s="69"/>
      <c r="E4" s="69"/>
      <c r="F4" s="69"/>
      <c r="G4" s="69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83" t="s">
        <v>166</v>
      </c>
      <c r="C8" s="84"/>
      <c r="D8" s="84"/>
      <c r="E8" s="84"/>
      <c r="F8" s="84"/>
      <c r="G8" s="85"/>
      <c r="H8" s="2"/>
    </row>
    <row r="9" spans="1:8" ht="29.25" customHeight="1" x14ac:dyDescent="0.25">
      <c r="A9" s="2"/>
      <c r="B9" s="76" t="s">
        <v>116</v>
      </c>
      <c r="C9" s="78"/>
      <c r="D9" s="98" t="s">
        <v>47</v>
      </c>
      <c r="E9" s="98"/>
      <c r="F9" s="98" t="s">
        <v>127</v>
      </c>
      <c r="G9" s="98"/>
      <c r="H9" s="2"/>
    </row>
    <row r="10" spans="1:8" x14ac:dyDescent="0.25">
      <c r="A10" s="2"/>
      <c r="B10" s="103" t="s">
        <v>167</v>
      </c>
      <c r="C10" s="104"/>
      <c r="D10" s="105">
        <v>0</v>
      </c>
      <c r="E10" s="23" t="s">
        <v>4</v>
      </c>
      <c r="F10" s="12">
        <v>0</v>
      </c>
      <c r="G10" s="23" t="s">
        <v>4</v>
      </c>
      <c r="H10" s="2"/>
    </row>
    <row r="11" spans="1:8" x14ac:dyDescent="0.25">
      <c r="A11" s="2"/>
      <c r="B11" s="83" t="s">
        <v>133</v>
      </c>
      <c r="C11" s="84"/>
      <c r="D11" s="21">
        <f>SUM(D10:D10)</f>
        <v>0</v>
      </c>
      <c r="E11" s="22" t="s">
        <v>4</v>
      </c>
      <c r="F11" s="21">
        <f>SUM(F10:F10)</f>
        <v>0</v>
      </c>
      <c r="G11" s="22" t="s">
        <v>4</v>
      </c>
      <c r="H11" s="2"/>
    </row>
    <row r="12" spans="1:8" x14ac:dyDescent="0.25">
      <c r="A12" s="2"/>
      <c r="B12" s="83" t="s">
        <v>145</v>
      </c>
      <c r="C12" s="85"/>
      <c r="D12" s="21">
        <f>D11*(1+'Fane 2.1. Økonomisk ramme 2018'!E18/100)</f>
        <v>0</v>
      </c>
      <c r="E12" s="22" t="s">
        <v>4</v>
      </c>
      <c r="F12" s="21">
        <f>F11*(1+'Fane 2.1. Økonomisk ramme 2018'!E18/100)</f>
        <v>0</v>
      </c>
      <c r="G12" s="22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83" t="s">
        <v>162</v>
      </c>
      <c r="C15" s="84"/>
      <c r="D15" s="84"/>
      <c r="E15" s="84"/>
      <c r="F15" s="84"/>
      <c r="G15" s="85"/>
      <c r="H15" s="2"/>
    </row>
    <row r="16" spans="1:8" ht="15" customHeight="1" x14ac:dyDescent="0.25">
      <c r="A16" s="2"/>
      <c r="B16" s="76" t="s">
        <v>179</v>
      </c>
      <c r="C16" s="77"/>
      <c r="D16" s="77"/>
      <c r="E16" s="78"/>
      <c r="F16" s="98" t="s">
        <v>163</v>
      </c>
      <c r="G16" s="98"/>
      <c r="H16" s="2"/>
    </row>
    <row r="17" spans="1:8" x14ac:dyDescent="0.25">
      <c r="A17" s="2"/>
      <c r="B17" s="73" t="s">
        <v>175</v>
      </c>
      <c r="C17" s="74"/>
      <c r="D17" s="74"/>
      <c r="E17" s="75"/>
      <c r="F17" s="12">
        <v>0</v>
      </c>
      <c r="G17" s="23" t="s">
        <v>4</v>
      </c>
      <c r="H17" s="2"/>
    </row>
    <row r="18" spans="1:8" x14ac:dyDescent="0.25">
      <c r="A18" s="2"/>
      <c r="B18" s="83" t="s">
        <v>164</v>
      </c>
      <c r="C18" s="84"/>
      <c r="D18" s="84"/>
      <c r="E18" s="85"/>
      <c r="F18" s="21">
        <f>SUM(F17:F17)</f>
        <v>0</v>
      </c>
      <c r="G18" s="22" t="s">
        <v>4</v>
      </c>
      <c r="H18" s="2"/>
    </row>
    <row r="19" spans="1:8" x14ac:dyDescent="0.25">
      <c r="A19" s="2"/>
      <c r="B19" s="83" t="s">
        <v>165</v>
      </c>
      <c r="C19" s="84"/>
      <c r="D19" s="84"/>
      <c r="E19" s="85"/>
      <c r="F19" s="21">
        <f>F18*(1+'Fane 2.1. Økonomisk ramme 2018'!E18/100)</f>
        <v>0</v>
      </c>
      <c r="G19" s="22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1" t="s">
        <v>118</v>
      </c>
      <c r="C3" s="91"/>
      <c r="D3" s="91"/>
      <c r="E3" s="91"/>
      <c r="F3" s="91"/>
      <c r="G3" s="91"/>
      <c r="H3" s="2"/>
    </row>
    <row r="4" spans="1:8" ht="25.5" customHeight="1" x14ac:dyDescent="0.25">
      <c r="A4" s="2"/>
      <c r="B4" s="91"/>
      <c r="C4" s="91"/>
      <c r="D4" s="91"/>
      <c r="E4" s="91"/>
      <c r="F4" s="91"/>
      <c r="G4" s="91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83" t="s">
        <v>117</v>
      </c>
      <c r="C8" s="84"/>
      <c r="D8" s="84"/>
      <c r="E8" s="84"/>
      <c r="F8" s="84"/>
      <c r="G8" s="85"/>
      <c r="H8" s="2"/>
    </row>
    <row r="9" spans="1:8" ht="29.25" customHeight="1" x14ac:dyDescent="0.25">
      <c r="A9" s="2"/>
      <c r="B9" s="34" t="s">
        <v>119</v>
      </c>
      <c r="C9" s="35"/>
      <c r="D9" s="98" t="s">
        <v>47</v>
      </c>
      <c r="E9" s="98"/>
      <c r="F9" s="98" t="s">
        <v>127</v>
      </c>
      <c r="G9" s="98"/>
      <c r="H9" s="2"/>
    </row>
    <row r="10" spans="1:8" x14ac:dyDescent="0.25">
      <c r="A10" s="2"/>
      <c r="B10" s="106" t="s">
        <v>174</v>
      </c>
      <c r="C10" s="107"/>
      <c r="D10" s="12">
        <v>0</v>
      </c>
      <c r="E10" s="23" t="s">
        <v>4</v>
      </c>
      <c r="F10" s="12">
        <v>0</v>
      </c>
      <c r="G10" s="23" t="s">
        <v>4</v>
      </c>
      <c r="H10" s="2"/>
    </row>
    <row r="11" spans="1:8" x14ac:dyDescent="0.25">
      <c r="A11" s="2"/>
      <c r="B11" s="83" t="s">
        <v>128</v>
      </c>
      <c r="C11" s="85"/>
      <c r="D11" s="21">
        <f>-SUM(D10:D10)</f>
        <v>0</v>
      </c>
      <c r="E11" s="22" t="s">
        <v>4</v>
      </c>
      <c r="F11" s="21">
        <f>-SUM(F10:F10)</f>
        <v>0</v>
      </c>
      <c r="G11" s="22" t="s">
        <v>4</v>
      </c>
      <c r="H11" s="2"/>
    </row>
    <row r="12" spans="1:8" x14ac:dyDescent="0.25">
      <c r="A12" s="2"/>
      <c r="B12" s="83" t="s">
        <v>144</v>
      </c>
      <c r="C12" s="85"/>
      <c r="D12" s="21">
        <f>D11*(1+'Fane 2.1. Økonomisk ramme 2018'!E18/100)</f>
        <v>0</v>
      </c>
      <c r="E12" s="22" t="s">
        <v>4</v>
      </c>
      <c r="F12" s="21">
        <f>F11*(1+'Fane 2.1. Økonomisk ramme 2018'!E18/100)</f>
        <v>0</v>
      </c>
      <c r="G12" s="22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1. Forside</vt:lpstr>
      <vt:lpstr>Fane 2.1. Økonomisk ramme 2018</vt:lpstr>
      <vt:lpstr>Fane 2.2. Økonomisk ramme 2019</vt:lpstr>
      <vt:lpstr>Fane 3. Korrigeret grundlag</vt:lpstr>
      <vt:lpstr>Fane 4. Ikke-påvirkelige omk.</vt:lpstr>
      <vt:lpstr>Fane 5. Individuelt eff.krav</vt:lpstr>
      <vt:lpstr>Fane 6. Generelt eff.krav</vt:lpstr>
      <vt:lpstr>Fane 7. Hist. over el. underdæk</vt:lpstr>
      <vt:lpstr>Fane 8. Gen. inv. i 2016</vt:lpstr>
      <vt:lpstr>Fane 9. Korrektion af PL2016</vt:lpstr>
      <vt:lpstr>Fane 10. Kontrol af PL2016</vt:lpstr>
      <vt:lpstr>Fane 11. Tillæg</vt:lpstr>
      <vt:lpstr>Fane 12.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Morten Søndergaard</cp:lastModifiedBy>
  <cp:lastPrinted>2016-06-14T12:57:30Z</cp:lastPrinted>
  <dcterms:created xsi:type="dcterms:W3CDTF">2016-06-02T08:51:18Z</dcterms:created>
  <dcterms:modified xsi:type="dcterms:W3CDTF">2018-08-13T11:48:51Z</dcterms:modified>
</cp:coreProperties>
</file>