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3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<sst xmlns="http://schemas.openxmlformats.org/spreadsheetml/2006/main" count="395" uniqueCount="197">
  <si>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</si>
  <si>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</si>
  <si>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</si>
  <si>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</si>
  <si>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</si>
  <si>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</si>
  <si>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</si>
  <si>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</si>
  <si>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</si>
  <si>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</si>
  <si>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</si>
  <si>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</si>
  <si>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</si>
  <si>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</si>
  <si>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</si>
  <si>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</si>
  <si>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</si>
  <si>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</si>
  <si>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</si>
  <si>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</si>
  <si>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</si>
  <si>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</si>
  <si>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</si>
  <si>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</si>
  <si>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</si>
  <si>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</si>
  <si>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</si>
  <si>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</si>
  <si>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</si>
  <si>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</si>
  <si>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</si>
  <si>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</si>
  <si>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</si>
  <si>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</si>
  <si>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</si>
  <si>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</si>
  <si>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</si>
  <si>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</si>
  <si>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</si>
  <si>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</si>
  <si>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</si>
  <si>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</si>
  <si>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</si>
  <si>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</si>
  <si>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</si>
  <si>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</si>
  <si>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</si>
  <si>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</si>
  <si>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</si>
  <si>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</si>
  <si>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</si>
  <si>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</si>
  <si>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</si>
  <si>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</si>
  <si>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</si>
  <si>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</si>
  <si>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</si>
  <si>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</si>
  <si>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</si>
  <si>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</si>
  <si>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</si>
  <si>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</si>
  <si>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</si>
  <si>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</si>
  <si>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</si>
  <si>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</si>
  <si>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</si>
  <si>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</si>
  <si>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</si>
  <si>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</si>
  <si>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</si>
  <si>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</si>
  <si>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</si>
  <si>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</si>
  <si>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</si>
  <si>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</si>
  <si>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</si>
  <si>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</si>
  <si>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</si>
  <si>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</si>
  <si>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</si>
  <si>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</si>
  <si>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</si>
  <si>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</si>
  <si>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</si>
  <si>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</si>
  <si>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</si>
  <si>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</si>
  <si>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</si>
  <si>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</si>
  <si>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</si>
  <si>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</si>
  <si>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</si>
  <si>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</si>
  <si>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</si>
  <si>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</si>
  <si>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</si>
  <si>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</si>
  <si>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</si>
  <si>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</si>
  <si>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</si>
  <si>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</si>
  <si>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</si>
  <si>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</si>
  <si>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</si>
  <si>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</si>
  <si>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</si>
  <si>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</si>
  <si>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</si>
  <si>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</si>
  <si>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</si>
  <si>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</si>
  <si>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</si>
  <si>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</si>
  <si>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</si>
  <si>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</si>
  <si>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</si>
  <si>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</si>
  <si>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</si>
  <si>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</si>
  <si>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</si>
  <si>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</si>
  <si>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</si>
  <si>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</si>
  <si>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</si>
  <si>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</si>
  <si>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</si>
  <si>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</si>
  <si>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</si>
  <si>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</si>
  <si>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</si>
  <si>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</si>
  <si>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</si>
  <si>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</si>
  <si>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</si>
  <si>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</si>
  <si>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</si>
  <si>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</si>
  <si>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</si>
  <si>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</si>
  <si>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</si>
  <si>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</si>
  <si>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</si>
  <si>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</si>
  <si>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</si>
  <si>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</si>
  <si>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</si>
  <si>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</si>
  <si>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</si>
  <si>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Administrationbygninger</t>
  </si>
  <si>
    <t>Arbejdsplads</t>
  </si>
  <si>
    <t>Beluftningstanke, Mek/EL</t>
  </si>
  <si>
    <t>Beluftningstanke, SRO</t>
  </si>
  <si>
    <t>Efterklaringstanke, SRO</t>
  </si>
  <si>
    <t>Køretøjer, entreprenørmaskiner</t>
  </si>
  <si>
    <t>Køretøjer, små lastvogne (&lt; 3.500 kg.)</t>
  </si>
  <si>
    <t>Ledningsnet ≤ Ø 200 mm</t>
  </si>
  <si>
    <t>Sand- og fedtfang, Mek/EL</t>
  </si>
  <si>
    <t>Sand- og fedtfang, SRO</t>
  </si>
  <si>
    <t>Slutafvanding, slam - højteknologisk (centrifuger), Konstruktioner</t>
  </si>
  <si>
    <t>Forafvanding, slam, Mek/EL</t>
  </si>
  <si>
    <t>Indløb med riste, Mek/EL</t>
  </si>
  <si>
    <t>Øvrige produktionsanlæg og maskiner (solcelleanlæg)</t>
  </si>
  <si>
    <t>Øvrige anlæg, driftsmateriel og inventar (lyslederkabel)</t>
  </si>
  <si>
    <t>Værksteder, garager</t>
  </si>
  <si>
    <t>Øvrige anlæg, driftsmateriel og inventar (adgangskontrol)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</si>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</sst>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6" t="s">
        <v>80</v>
      </c>
      <c r="C9" s="75"/>
      <c r="D9" s="75"/>
      <c r="E9" s="75"/>
      <c r="F9" s="76"/>
      <c r="G9" s="12">
        <v>2133945</v>
      </c>
      <c r="H9" s="23" t="s">
        <v>4</v>
      </c>
      <c r="I9" s="2"/>
    </row>
    <row r="10" spans="1:9" x14ac:dyDescent="0.25">
      <c r="A10" s="2"/>
      <c r="B10" s="86" t="s">
        <v>81</v>
      </c>
      <c r="C10" s="75"/>
      <c r="D10" s="75"/>
      <c r="E10" s="75"/>
      <c r="F10" s="76"/>
      <c r="G10" s="12">
        <v>1832000</v>
      </c>
      <c r="H10" s="23" t="s">
        <v>4</v>
      </c>
      <c r="I10" s="2"/>
    </row>
    <row r="11" spans="1:9" x14ac:dyDescent="0.25">
      <c r="A11" s="2"/>
      <c r="B11" s="71" t="s">
        <v>186</v>
      </c>
      <c r="C11" s="72"/>
      <c r="D11" s="72"/>
      <c r="E11" s="72"/>
      <c r="F11" s="73"/>
      <c r="G11" s="21">
        <f>G9-G10</f>
        <v>301945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187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86" t="s">
        <v>82</v>
      </c>
      <c r="C15" s="75"/>
      <c r="D15" s="75"/>
      <c r="E15" s="75"/>
      <c r="F15" s="76"/>
      <c r="G15" s="12">
        <v>489449</v>
      </c>
      <c r="H15" s="23" t="s">
        <v>4</v>
      </c>
      <c r="I15" s="2"/>
    </row>
    <row r="16" spans="1:9" x14ac:dyDescent="0.25">
      <c r="A16" s="2"/>
      <c r="B16" s="86" t="s">
        <v>83</v>
      </c>
      <c r="C16" s="75"/>
      <c r="D16" s="75"/>
      <c r="E16" s="75"/>
      <c r="F16" s="76"/>
      <c r="G16" s="12">
        <v>489500</v>
      </c>
      <c r="H16" s="23" t="s">
        <v>4</v>
      </c>
      <c r="I16" s="2"/>
    </row>
    <row r="17" spans="1:9" x14ac:dyDescent="0.25">
      <c r="A17" s="2"/>
      <c r="B17" s="71" t="s">
        <v>187</v>
      </c>
      <c r="C17" s="72"/>
      <c r="D17" s="72"/>
      <c r="E17" s="72"/>
      <c r="F17" s="73"/>
      <c r="G17" s="21">
        <f>G15-G16</f>
        <v>-51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188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86" t="s">
        <v>84</v>
      </c>
      <c r="C21" s="75"/>
      <c r="D21" s="75"/>
      <c r="E21" s="75"/>
      <c r="F21" s="76"/>
      <c r="G21" s="12">
        <v>84748</v>
      </c>
      <c r="H21" s="23" t="s">
        <v>4</v>
      </c>
      <c r="I21" s="2"/>
    </row>
    <row r="22" spans="1:9" x14ac:dyDescent="0.25">
      <c r="A22" s="2"/>
      <c r="B22" s="86" t="s">
        <v>85</v>
      </c>
      <c r="C22" s="75"/>
      <c r="D22" s="75"/>
      <c r="E22" s="75"/>
      <c r="F22" s="76"/>
      <c r="G22" s="12">
        <v>80000</v>
      </c>
      <c r="H22" s="23" t="s">
        <v>4</v>
      </c>
      <c r="I22" s="2"/>
    </row>
    <row r="23" spans="1:9" x14ac:dyDescent="0.25">
      <c r="A23" s="2"/>
      <c r="B23" s="71" t="s">
        <v>188</v>
      </c>
      <c r="C23" s="72"/>
      <c r="D23" s="72"/>
      <c r="E23" s="72"/>
      <c r="F23" s="73"/>
      <c r="G23" s="21">
        <f>G21-G22</f>
        <v>4748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189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80" t="s">
        <v>86</v>
      </c>
      <c r="C27" s="81"/>
      <c r="D27" s="81"/>
      <c r="E27" s="81"/>
      <c r="F27" s="82"/>
      <c r="G27" s="12">
        <v>0</v>
      </c>
      <c r="H27" s="23" t="s">
        <v>4</v>
      </c>
      <c r="I27" s="2"/>
    </row>
    <row r="28" spans="1:9" x14ac:dyDescent="0.25">
      <c r="A28" s="2"/>
      <c r="B28" s="86" t="s">
        <v>87</v>
      </c>
      <c r="C28" s="75"/>
      <c r="D28" s="75"/>
      <c r="E28" s="75"/>
      <c r="F28" s="76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189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6" t="s">
        <v>89</v>
      </c>
      <c r="C33" s="75"/>
      <c r="D33" s="75"/>
      <c r="E33" s="75"/>
      <c r="F33" s="76"/>
      <c r="G33" s="12">
        <f>'Fane 8. Gen. inv. i 2016'!F32</f>
        <v>922564.88666666672</v>
      </c>
      <c r="H33" s="23" t="s">
        <v>4</v>
      </c>
      <c r="I33" s="2"/>
    </row>
    <row r="34" spans="1:9" x14ac:dyDescent="0.25">
      <c r="A34" s="2"/>
      <c r="B34" s="86" t="s">
        <v>90</v>
      </c>
      <c r="C34" s="75"/>
      <c r="D34" s="75"/>
      <c r="E34" s="75"/>
      <c r="F34" s="76"/>
      <c r="G34" s="12">
        <v>316666.66666666669</v>
      </c>
      <c r="H34" s="23" t="s">
        <v>4</v>
      </c>
      <c r="I34" s="2"/>
    </row>
    <row r="35" spans="1:9" x14ac:dyDescent="0.25">
      <c r="A35" s="2"/>
      <c r="B35" s="71" t="s">
        <v>88</v>
      </c>
      <c r="C35" s="72"/>
      <c r="D35" s="72"/>
      <c r="E35" s="72"/>
      <c r="F35" s="73"/>
      <c r="G35" s="21">
        <f>G33-G34</f>
        <v>605898.22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71" t="s">
        <v>190</v>
      </c>
      <c r="C38" s="72"/>
      <c r="D38" s="72"/>
      <c r="E38" s="72"/>
      <c r="F38" s="72"/>
      <c r="G38" s="72"/>
      <c r="H38" s="73"/>
      <c r="I38" s="2"/>
    </row>
    <row r="39" spans="1:9" x14ac:dyDescent="0.25">
      <c r="A39" s="2"/>
      <c r="B39" s="86" t="s">
        <v>146</v>
      </c>
      <c r="C39" s="75"/>
      <c r="D39" s="75"/>
      <c r="E39" s="75"/>
      <c r="F39" s="76"/>
      <c r="G39" s="12">
        <v>0</v>
      </c>
      <c r="H39" s="23" t="s">
        <v>4</v>
      </c>
      <c r="I39" s="2"/>
    </row>
    <row r="40" spans="1:9" x14ac:dyDescent="0.25">
      <c r="A40" s="2"/>
      <c r="B40" s="86" t="s">
        <v>79</v>
      </c>
      <c r="C40" s="75"/>
      <c r="D40" s="75"/>
      <c r="E40" s="75"/>
      <c r="F40" s="76"/>
      <c r="G40" s="12">
        <v>914000</v>
      </c>
      <c r="H40" s="23" t="s">
        <v>4</v>
      </c>
      <c r="I40" s="2"/>
    </row>
    <row r="41" spans="1:9" x14ac:dyDescent="0.25">
      <c r="A41" s="2"/>
      <c r="B41" s="71" t="s">
        <v>190</v>
      </c>
      <c r="C41" s="72"/>
      <c r="D41" s="72"/>
      <c r="E41" s="72"/>
      <c r="F41" s="73"/>
      <c r="G41" s="21">
        <f>G39-G40</f>
        <v>-914000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92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7" t="s">
        <v>93</v>
      </c>
      <c r="C9" s="88"/>
      <c r="D9" s="88"/>
      <c r="E9" s="88"/>
      <c r="F9" s="89"/>
      <c r="G9" s="18">
        <v>31858568.92774171</v>
      </c>
      <c r="H9" s="28" t="s">
        <v>4</v>
      </c>
      <c r="I9" s="2"/>
    </row>
    <row r="10" spans="1:9" x14ac:dyDescent="0.25">
      <c r="A10" s="2"/>
      <c r="B10" s="71" t="s">
        <v>94</v>
      </c>
      <c r="C10" s="72"/>
      <c r="D10" s="72"/>
      <c r="E10" s="72"/>
      <c r="F10" s="72"/>
      <c r="G10" s="72"/>
      <c r="H10" s="73"/>
      <c r="I10" s="2"/>
    </row>
    <row r="11" spans="1:9" x14ac:dyDescent="0.25">
      <c r="A11" s="2"/>
      <c r="B11" s="86" t="s">
        <v>19</v>
      </c>
      <c r="C11" s="75"/>
      <c r="D11" s="76"/>
      <c r="E11" s="12">
        <v>5187498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95</v>
      </c>
      <c r="C12" s="75"/>
      <c r="D12" s="76"/>
      <c r="E12" s="12">
        <v>2408399.7987333331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96</v>
      </c>
      <c r="C13" s="75"/>
      <c r="D13" s="76"/>
      <c r="E13" s="12">
        <v>2377245.9733333327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97</v>
      </c>
      <c r="C14" s="75"/>
      <c r="D14" s="76"/>
      <c r="E14" s="12">
        <v>732216.66666666674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10705360.438733332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5"/>
      <c r="D16" s="76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5"/>
      <c r="D17" s="76"/>
      <c r="E17" s="12">
        <v>119547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5"/>
      <c r="D18" s="76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119547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80" t="s">
        <v>25</v>
      </c>
      <c r="C20" s="81"/>
      <c r="D20" s="82"/>
      <c r="E20" s="12">
        <v>-1120000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80" t="s">
        <v>26</v>
      </c>
      <c r="C21" s="81"/>
      <c r="D21" s="82"/>
      <c r="E21" s="12">
        <v>-5533830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5"/>
      <c r="D22" s="76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5"/>
      <c r="D23" s="76"/>
      <c r="E23" s="12">
        <v>-520282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80" t="s">
        <v>29</v>
      </c>
      <c r="C24" s="81"/>
      <c r="D24" s="8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80" t="s">
        <v>30</v>
      </c>
      <c r="C25" s="81"/>
      <c r="D25" s="8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80" t="s">
        <v>31</v>
      </c>
      <c r="C26" s="81"/>
      <c r="D26" s="8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-7174112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3650795.4387333319</v>
      </c>
      <c r="F28" s="28" t="s">
        <v>4</v>
      </c>
      <c r="G28" s="1">
        <f>IF(E28&lt;0,0,-E28)</f>
        <v>-3650795.4387333319</v>
      </c>
      <c r="H28" s="28" t="s">
        <v>4</v>
      </c>
      <c r="I28" s="2"/>
    </row>
    <row r="29" spans="1:9" x14ac:dyDescent="0.25">
      <c r="A29" s="2"/>
      <c r="B29" s="71" t="s">
        <v>98</v>
      </c>
      <c r="C29" s="72"/>
      <c r="D29" s="72"/>
      <c r="E29" s="72"/>
      <c r="F29" s="72"/>
      <c r="G29" s="72"/>
      <c r="H29" s="73"/>
      <c r="I29" s="2"/>
    </row>
    <row r="30" spans="1:9" x14ac:dyDescent="0.25">
      <c r="A30" s="2"/>
      <c r="B30" s="87" t="s">
        <v>98</v>
      </c>
      <c r="C30" s="88"/>
      <c r="D30" s="89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72"/>
      <c r="D31" s="72"/>
      <c r="E31" s="72"/>
      <c r="F31" s="72"/>
      <c r="G31" s="72"/>
      <c r="H31" s="73"/>
      <c r="I31" s="2"/>
    </row>
    <row r="32" spans="1:9" ht="30" customHeight="1" x14ac:dyDescent="0.25">
      <c r="A32" s="2"/>
      <c r="B32" s="80" t="s">
        <v>58</v>
      </c>
      <c r="C32" s="81"/>
      <c r="D32" s="82"/>
      <c r="E32" s="12">
        <v>22358158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5"/>
      <c r="D33" s="76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80" t="s">
        <v>35</v>
      </c>
      <c r="C34" s="81"/>
      <c r="D34" s="82"/>
      <c r="E34" s="12">
        <v>452445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22810603</v>
      </c>
      <c r="F35" s="28" t="s">
        <v>4</v>
      </c>
      <c r="G35" s="18">
        <f>-E35</f>
        <v>-22810603</v>
      </c>
      <c r="H35" s="28" t="s">
        <v>4</v>
      </c>
      <c r="I35" s="2"/>
    </row>
    <row r="36" spans="1:9" x14ac:dyDescent="0.25">
      <c r="A36" s="2"/>
      <c r="B36" s="71" t="s">
        <v>99</v>
      </c>
      <c r="C36" s="72"/>
      <c r="D36" s="72"/>
      <c r="E36" s="72"/>
      <c r="F36" s="73"/>
      <c r="G36" s="21">
        <f>$G$9+$G$28+$G$30+$G$35</f>
        <v>5397170.4890083782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182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77" t="s">
        <v>118</v>
      </c>
      <c r="C9" s="79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183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135</v>
      </c>
      <c r="C11" s="7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1" t="s">
        <v>148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1" t="s">
        <v>178</v>
      </c>
      <c r="C15" s="72"/>
      <c r="D15" s="72"/>
      <c r="E15" s="72"/>
      <c r="F15" s="72"/>
      <c r="G15" s="73"/>
      <c r="H15" s="2"/>
    </row>
    <row r="16" spans="1:8" ht="15" customHeight="1" x14ac:dyDescent="0.25">
      <c r="A16" s="2"/>
      <c r="B16" s="77" t="s">
        <v>196</v>
      </c>
      <c r="C16" s="78"/>
      <c r="D16" s="78"/>
      <c r="E16" s="79"/>
      <c r="F16" s="100" t="s">
        <v>179</v>
      </c>
      <c r="G16" s="100"/>
      <c r="H16" s="2"/>
    </row>
    <row r="17" spans="1:8" x14ac:dyDescent="0.25">
      <c r="A17" s="2"/>
      <c r="B17" s="86" t="s">
        <v>192</v>
      </c>
      <c r="C17" s="75"/>
      <c r="D17" s="75"/>
      <c r="E17" s="76"/>
      <c r="F17" s="12">
        <v>0</v>
      </c>
      <c r="G17" s="23" t="s">
        <v>4</v>
      </c>
      <c r="H17" s="2"/>
    </row>
    <row r="18" spans="1:8" x14ac:dyDescent="0.25">
      <c r="A18" s="2"/>
      <c r="B18" s="71" t="s">
        <v>180</v>
      </c>
      <c r="C18" s="72"/>
      <c r="D18" s="72"/>
      <c r="E18" s="73"/>
      <c r="F18" s="21">
        <f>SUM(F17:F17)</f>
        <v>0</v>
      </c>
      <c r="G18" s="22" t="s">
        <v>4</v>
      </c>
      <c r="H18" s="2"/>
    </row>
    <row r="19" spans="1:8" x14ac:dyDescent="0.25">
      <c r="A19" s="2"/>
      <c r="B19" s="71" t="s">
        <v>181</v>
      </c>
      <c r="C19" s="72"/>
      <c r="D19" s="72"/>
      <c r="E19" s="73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119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191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130</v>
      </c>
      <c r="C11" s="7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1" t="s">
        <v>147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ht="15" customHeight="1" x14ac:dyDescent="0.25">
      <c r="A9" s="2"/>
      <c r="B9" s="80" t="s">
        <v>60</v>
      </c>
      <c r="C9" s="81"/>
      <c r="D9" s="82"/>
      <c r="E9" s="8">
        <f>'Fane 3. Korrigeret grundlag'!G12</f>
        <v>25110436.581201598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75"/>
      <c r="D10" s="76"/>
      <c r="E10" s="12">
        <f>'Fane 3. Korrigeret grundlag'!G11</f>
        <v>2367066.8198585194</v>
      </c>
      <c r="F10" s="9" t="s">
        <v>4</v>
      </c>
      <c r="G10" s="13"/>
      <c r="H10" s="14"/>
      <c r="I10" s="2"/>
    </row>
    <row r="11" spans="1:9" x14ac:dyDescent="0.25">
      <c r="A11" s="2"/>
      <c r="B11" s="74" t="s">
        <v>123</v>
      </c>
      <c r="C11" s="75"/>
      <c r="D11" s="76"/>
      <c r="E11" s="12">
        <f>'Fane 4. Ikke-påvirkelige omk.'!G19</f>
        <v>-216154.71628299973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194</v>
      </c>
      <c r="C12" s="38"/>
      <c r="D12" s="39"/>
      <c r="E12" s="12">
        <f>'Fane 5. Individuelt eff.krav'!G10</f>
        <v>-922817.68065040163</v>
      </c>
      <c r="F12" s="9" t="s">
        <v>4</v>
      </c>
      <c r="G12" s="13"/>
      <c r="H12" s="14"/>
      <c r="I12" s="2"/>
    </row>
    <row r="13" spans="1:9" x14ac:dyDescent="0.25">
      <c r="A13" s="2"/>
      <c r="B13" s="74" t="s">
        <v>174</v>
      </c>
      <c r="C13" s="83"/>
      <c r="D13" s="84"/>
      <c r="E13" s="12">
        <f>'Fane 3. Korrigeret grundlag'!G22</f>
        <v>2357802</v>
      </c>
      <c r="F13" s="9" t="s">
        <v>4</v>
      </c>
      <c r="G13" s="13"/>
      <c r="H13" s="14"/>
      <c r="I13" s="2"/>
    </row>
    <row r="14" spans="1:9" x14ac:dyDescent="0.25">
      <c r="A14" s="2"/>
      <c r="B14" s="80" t="s">
        <v>131</v>
      </c>
      <c r="C14" s="81"/>
      <c r="D14" s="82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0" t="s">
        <v>132</v>
      </c>
      <c r="C15" s="81"/>
      <c r="D15" s="82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0" t="s">
        <v>178</v>
      </c>
      <c r="C16" s="81"/>
      <c r="D16" s="82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0" t="s">
        <v>133</v>
      </c>
      <c r="C17" s="81"/>
      <c r="D17" s="82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0" t="s">
        <v>134</v>
      </c>
      <c r="C18" s="81"/>
      <c r="D18" s="82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4" t="s">
        <v>125</v>
      </c>
      <c r="C20" s="75"/>
      <c r="D20" s="76"/>
      <c r="E20" s="12">
        <f>SUM(E9,E11:E18)*(E19/100)</f>
        <v>460762.15822469344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75"/>
      <c r="D21" s="76"/>
      <c r="E21" s="12">
        <f>'Fane 5. Individuelt eff.krav'!G12</f>
        <v>288571.0377669654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75"/>
      <c r="D22" s="76"/>
      <c r="E22" s="12">
        <f>'Fane 6. Generelt eff.krav'!G17</f>
        <v>479732.65944784094</v>
      </c>
      <c r="F22" s="9" t="s">
        <v>4</v>
      </c>
      <c r="G22" s="16"/>
      <c r="H22" s="17"/>
      <c r="I22" s="2"/>
    </row>
    <row r="23" spans="1:9" x14ac:dyDescent="0.25">
      <c r="A23" s="2"/>
      <c r="B23" s="87" t="s">
        <v>184</v>
      </c>
      <c r="C23" s="88"/>
      <c r="D23" s="89"/>
      <c r="E23" s="18">
        <f>SUM(E9,E11:E18,E20)-SUM(E21:E22)</f>
        <v>26021724.645278085</v>
      </c>
      <c r="F23" s="19" t="s">
        <v>4</v>
      </c>
      <c r="G23" s="18">
        <f>E23</f>
        <v>26021724.645278085</v>
      </c>
      <c r="H23" s="19" t="s">
        <v>4</v>
      </c>
      <c r="I23" s="2"/>
    </row>
    <row r="24" spans="1:9" x14ac:dyDescent="0.25">
      <c r="A24" s="2"/>
      <c r="B24" s="71" t="s">
        <v>17</v>
      </c>
      <c r="C24" s="72"/>
      <c r="D24" s="72"/>
      <c r="E24" s="72"/>
      <c r="F24" s="72"/>
      <c r="G24" s="72"/>
      <c r="H24" s="73"/>
      <c r="I24" s="2"/>
    </row>
    <row r="25" spans="1:9" x14ac:dyDescent="0.25">
      <c r="A25" s="2"/>
      <c r="B25" s="77" t="s">
        <v>55</v>
      </c>
      <c r="C25" s="78"/>
      <c r="D25" s="79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71" t="s">
        <v>100</v>
      </c>
      <c r="C26" s="72"/>
      <c r="D26" s="72"/>
      <c r="E26" s="72"/>
      <c r="F26" s="72"/>
      <c r="G26" s="72"/>
      <c r="H26" s="73"/>
      <c r="I26" s="2"/>
    </row>
    <row r="27" spans="1:9" x14ac:dyDescent="0.25">
      <c r="A27" s="2"/>
      <c r="B27" s="80" t="s">
        <v>107</v>
      </c>
      <c r="C27" s="81"/>
      <c r="D27" s="82"/>
      <c r="E27" s="12">
        <f>'Fane 9. Korrektion af PL2016'!G11</f>
        <v>301945</v>
      </c>
      <c r="F27" s="9" t="s">
        <v>4</v>
      </c>
      <c r="G27" s="20"/>
      <c r="H27" s="11"/>
      <c r="I27" s="2"/>
    </row>
    <row r="28" spans="1:9" x14ac:dyDescent="0.25">
      <c r="A28" s="2"/>
      <c r="B28" s="80" t="s">
        <v>101</v>
      </c>
      <c r="C28" s="81"/>
      <c r="D28" s="82"/>
      <c r="E28" s="12">
        <f>'Fane 9. Korrektion af PL2016'!G17</f>
        <v>-51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0" t="s">
        <v>102</v>
      </c>
      <c r="C29" s="81"/>
      <c r="D29" s="82"/>
      <c r="E29" s="12">
        <f>'Fane 9. Korrektion af PL2016'!G23</f>
        <v>4748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0" t="s">
        <v>103</v>
      </c>
      <c r="C30" s="81"/>
      <c r="D30" s="82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0" t="s">
        <v>104</v>
      </c>
      <c r="C31" s="81"/>
      <c r="D31" s="82"/>
      <c r="E31" s="12">
        <f>'Fane 9. Korrektion af PL2016'!G35</f>
        <v>605898.22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0" t="s">
        <v>78</v>
      </c>
      <c r="C32" s="81"/>
      <c r="D32" s="82"/>
      <c r="E32" s="12">
        <f>'Fane 9. Korrektion af PL2016'!G41</f>
        <v>-914000</v>
      </c>
      <c r="F32" s="9" t="s">
        <v>4</v>
      </c>
      <c r="G32" s="16"/>
      <c r="H32" s="17"/>
      <c r="I32" s="2"/>
    </row>
    <row r="33" spans="1:9" x14ac:dyDescent="0.25">
      <c r="A33" s="2"/>
      <c r="B33" s="77" t="s">
        <v>105</v>
      </c>
      <c r="C33" s="78"/>
      <c r="D33" s="79"/>
      <c r="E33" s="18">
        <f>SUM(E27:E32)</f>
        <v>-1459.7800000000279</v>
      </c>
      <c r="F33" s="19" t="s">
        <v>4</v>
      </c>
      <c r="G33" s="18">
        <f>E33</f>
        <v>-1459.7800000000279</v>
      </c>
      <c r="H33" s="19" t="s">
        <v>4</v>
      </c>
      <c r="I33" s="2"/>
    </row>
    <row r="34" spans="1:9" x14ac:dyDescent="0.25">
      <c r="A34" s="2"/>
      <c r="B34" s="71" t="s">
        <v>18</v>
      </c>
      <c r="C34" s="72"/>
      <c r="D34" s="72"/>
      <c r="E34" s="72"/>
      <c r="F34" s="72"/>
      <c r="G34" s="72"/>
      <c r="H34" s="73"/>
      <c r="I34" s="2"/>
    </row>
    <row r="35" spans="1:9" x14ac:dyDescent="0.25">
      <c r="A35" s="2"/>
      <c r="B35" s="77" t="s">
        <v>106</v>
      </c>
      <c r="C35" s="78"/>
      <c r="D35" s="79"/>
      <c r="E35" s="18">
        <f>'Fane 10. Kontrol af PL2016'!G36</f>
        <v>5397170.4890083782</v>
      </c>
      <c r="F35" s="19" t="s">
        <v>4</v>
      </c>
      <c r="G35" s="18">
        <f>E35</f>
        <v>5397170.4890083782</v>
      </c>
      <c r="H35" s="19" t="s">
        <v>4</v>
      </c>
      <c r="I35" s="2"/>
    </row>
    <row r="36" spans="1:9" x14ac:dyDescent="0.25">
      <c r="A36" s="2"/>
      <c r="B36" s="71" t="s">
        <v>62</v>
      </c>
      <c r="C36" s="72"/>
      <c r="D36" s="72"/>
      <c r="E36" s="72"/>
      <c r="F36" s="73"/>
      <c r="G36" s="21">
        <f>G23+G25+G33+G35</f>
        <v>31417435.354286462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0" t="s">
        <v>108</v>
      </c>
      <c r="C9" s="81"/>
      <c r="D9" s="82"/>
      <c r="E9" s="8">
        <f>'Fane 2.1. Økonomisk ramme 2018'!G23-'Fane 2.1. Økonomisk ramme 2018'!E13*(1+0.0175)*(1-0.02-'Fane 5. Individuelt eff.krav'!G11/100)</f>
        <v>23698782.980115574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83"/>
      <c r="D10" s="84"/>
      <c r="E10" s="12">
        <f>(SUM('Fane 2.1. Økonomisk ramme 2018'!E10:E11,'Fane 2.1. Økonomisk ramme 2018'!E16))*(1+'Fane 2.1. Økonomisk ramme 2018'!E19/100)</f>
        <v>2188553.0653880914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174</v>
      </c>
      <c r="C11" s="41"/>
      <c r="D11" s="42"/>
      <c r="E11" s="12">
        <v>1428062.196275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5"/>
      <c r="D12" s="76"/>
      <c r="E12" s="12">
        <f>($E$9+E11)*'Fane 2.1. Økonomisk ramme 2018'!E19/100</f>
        <v>439719.79058683501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5"/>
      <c r="D13" s="76"/>
      <c r="E13" s="12">
        <f>($E$9+E11-$E$10)*(1+'Fane 2.1. Økonomisk ramme 2018'!E19/100)*'Fane 5. Individuelt eff.krav'!$G$11/100</f>
        <v>273770.77599999099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507832.28014257667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184</v>
      </c>
      <c r="C15" s="88"/>
      <c r="D15" s="89"/>
      <c r="E15" s="18">
        <f>$E$9+$E$12-$E$13-$E$14+E11</f>
        <v>24784961.910834845</v>
      </c>
      <c r="F15" s="19" t="s">
        <v>4</v>
      </c>
      <c r="G15" s="18">
        <f>E15</f>
        <v>24784961.910834845</v>
      </c>
      <c r="H15" s="19" t="s">
        <v>4</v>
      </c>
      <c r="I15" s="2"/>
    </row>
    <row r="16" spans="1:9" x14ac:dyDescent="0.25">
      <c r="A16" s="2"/>
      <c r="B16" s="71" t="s">
        <v>17</v>
      </c>
      <c r="C16" s="72"/>
      <c r="D16" s="72"/>
      <c r="E16" s="72"/>
      <c r="F16" s="72"/>
      <c r="G16" s="72"/>
      <c r="H16" s="73"/>
      <c r="I16" s="2"/>
    </row>
    <row r="17" spans="1:9" ht="15" customHeight="1" x14ac:dyDescent="0.25">
      <c r="A17" s="2"/>
      <c r="B17" s="77" t="s">
        <v>55</v>
      </c>
      <c r="C17" s="78"/>
      <c r="D17" s="79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71" t="s">
        <v>109</v>
      </c>
      <c r="C18" s="72"/>
      <c r="D18" s="72"/>
      <c r="E18" s="72"/>
      <c r="F18" s="73"/>
      <c r="G18" s="21">
        <f>G15+G17</f>
        <v>24784961.910834845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143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112</v>
      </c>
      <c r="C9" s="75"/>
      <c r="D9" s="75"/>
      <c r="E9" s="75"/>
      <c r="F9" s="76"/>
      <c r="G9" s="12">
        <v>13032627.455253001</v>
      </c>
      <c r="H9" s="23" t="s">
        <v>4</v>
      </c>
      <c r="I9" s="2"/>
    </row>
    <row r="10" spans="1:9" x14ac:dyDescent="0.25">
      <c r="A10" s="2"/>
      <c r="B10" s="86" t="s">
        <v>113</v>
      </c>
      <c r="C10" s="75"/>
      <c r="D10" s="75"/>
      <c r="E10" s="75"/>
      <c r="F10" s="76"/>
      <c r="G10" s="12">
        <v>9710742.3060900755</v>
      </c>
      <c r="H10" s="23" t="s">
        <v>4</v>
      </c>
      <c r="I10" s="2"/>
    </row>
    <row r="11" spans="1:9" x14ac:dyDescent="0.25">
      <c r="A11" s="2"/>
      <c r="B11" s="86" t="s">
        <v>140</v>
      </c>
      <c r="C11" s="75"/>
      <c r="D11" s="75"/>
      <c r="E11" s="75"/>
      <c r="F11" s="76"/>
      <c r="G11" s="12">
        <v>2367066.8198585194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25110436.581201598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71" t="s">
        <v>174</v>
      </c>
      <c r="C19" s="72"/>
      <c r="D19" s="72"/>
      <c r="E19" s="72"/>
      <c r="F19" s="72"/>
      <c r="G19" s="72"/>
      <c r="H19" s="73"/>
      <c r="I19" s="2"/>
    </row>
    <row r="20" spans="1:9" x14ac:dyDescent="0.25">
      <c r="A20" s="2"/>
      <c r="B20" s="86" t="s">
        <v>175</v>
      </c>
      <c r="C20" s="75"/>
      <c r="D20" s="75"/>
      <c r="E20" s="75"/>
      <c r="F20" s="76"/>
      <c r="G20" s="12">
        <v>2357802</v>
      </c>
      <c r="H20" s="23" t="s">
        <v>4</v>
      </c>
      <c r="I20" s="2"/>
    </row>
    <row r="21" spans="1:9" x14ac:dyDescent="0.25">
      <c r="A21" s="2"/>
      <c r="B21" s="86" t="s">
        <v>176</v>
      </c>
      <c r="C21" s="75"/>
      <c r="D21" s="75"/>
      <c r="E21" s="75"/>
      <c r="F21" s="76"/>
      <c r="G21" s="12">
        <v>0</v>
      </c>
      <c r="H21" s="23" t="s">
        <v>4</v>
      </c>
      <c r="I21" s="2"/>
    </row>
    <row r="22" spans="1:9" x14ac:dyDescent="0.25">
      <c r="A22" s="2"/>
      <c r="B22" s="91" t="s">
        <v>177</v>
      </c>
      <c r="C22" s="92"/>
      <c r="D22" s="92"/>
      <c r="E22" s="92"/>
      <c r="F22" s="93"/>
      <c r="G22" s="21">
        <f>SUM(G20:G21)</f>
        <v>2357802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115</v>
      </c>
      <c r="C8" s="72"/>
      <c r="D8" s="72"/>
      <c r="E8" s="72"/>
      <c r="F8" s="72"/>
      <c r="G8" s="72"/>
      <c r="H8" s="73"/>
      <c r="I8" s="2"/>
    </row>
    <row r="9" spans="1:9" ht="51.75" customHeight="1" x14ac:dyDescent="0.25">
      <c r="A9" s="2"/>
      <c r="B9" s="77" t="s">
        <v>117</v>
      </c>
      <c r="C9" s="78"/>
      <c r="D9" s="79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86" t="s">
        <v>166</v>
      </c>
      <c r="C10" s="75"/>
      <c r="D10" s="75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6" t="s">
        <v>167</v>
      </c>
      <c r="C11" s="75"/>
      <c r="D11" s="75"/>
      <c r="E11" s="102">
        <v>87457.394199999995</v>
      </c>
      <c r="F11" s="23" t="s">
        <v>4</v>
      </c>
      <c r="G11" s="12">
        <v>93793</v>
      </c>
      <c r="H11" s="23" t="s">
        <v>4</v>
      </c>
      <c r="I11" s="2"/>
    </row>
    <row r="12" spans="1:9" x14ac:dyDescent="0.25">
      <c r="A12" s="2"/>
      <c r="B12" s="86" t="s">
        <v>168</v>
      </c>
      <c r="C12" s="75"/>
      <c r="D12" s="75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6" t="s">
        <v>169</v>
      </c>
      <c r="C13" s="75"/>
      <c r="D13" s="75"/>
      <c r="E13" s="102">
        <v>32399.4126</v>
      </c>
      <c r="F13" s="23" t="s">
        <v>4</v>
      </c>
      <c r="G13" s="12">
        <v>53253</v>
      </c>
      <c r="H13" s="23" t="s">
        <v>4</v>
      </c>
      <c r="I13" s="2"/>
    </row>
    <row r="14" spans="1:9" x14ac:dyDescent="0.25">
      <c r="A14" s="2"/>
      <c r="B14" s="86" t="s">
        <v>170</v>
      </c>
      <c r="C14" s="75"/>
      <c r="D14" s="75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171</v>
      </c>
      <c r="C15" s="75"/>
      <c r="D15" s="75"/>
      <c r="E15" s="102">
        <v>2002551.2779999999</v>
      </c>
      <c r="F15" s="23" t="s">
        <v>4</v>
      </c>
      <c r="G15" s="12">
        <v>1732014</v>
      </c>
      <c r="H15" s="23" t="s">
        <v>4</v>
      </c>
      <c r="I15" s="2"/>
    </row>
    <row r="16" spans="1:9" x14ac:dyDescent="0.25">
      <c r="A16" s="2"/>
      <c r="B16" s="86" t="s">
        <v>172</v>
      </c>
      <c r="C16" s="75"/>
      <c r="D16" s="75"/>
      <c r="E16" s="102">
        <v>214973.9828</v>
      </c>
      <c r="F16" s="23" t="s">
        <v>4</v>
      </c>
      <c r="G16" s="12">
        <v>245885</v>
      </c>
      <c r="H16" s="23" t="s">
        <v>4</v>
      </c>
      <c r="I16" s="2"/>
    </row>
    <row r="17" spans="1:9" x14ac:dyDescent="0.25">
      <c r="A17" s="2"/>
      <c r="B17" s="86" t="s">
        <v>173</v>
      </c>
      <c r="C17" s="75"/>
      <c r="D17" s="75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1" t="s">
        <v>136</v>
      </c>
      <c r="C18" s="72"/>
      <c r="D18" s="72"/>
      <c r="E18" s="72"/>
      <c r="F18" s="73"/>
      <c r="G18" s="21">
        <f>SUM(G10:G17)-SUM(E10:E17)</f>
        <v>-212437.06759999972</v>
      </c>
      <c r="H18" s="22" t="s">
        <v>4</v>
      </c>
      <c r="I18" s="2"/>
    </row>
    <row r="19" spans="1:9" x14ac:dyDescent="0.25">
      <c r="A19" s="2"/>
      <c r="B19" s="71" t="s">
        <v>137</v>
      </c>
      <c r="C19" s="72"/>
      <c r="D19" s="72"/>
      <c r="E19" s="72"/>
      <c r="F19" s="73"/>
      <c r="G19" s="21">
        <f>G18*(1+'Fane 2.1. Økonomisk ramme 2018'!E19/100)</f>
        <v>-216154.71628299973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15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51</v>
      </c>
      <c r="C9" s="75"/>
      <c r="D9" s="75"/>
      <c r="E9" s="75"/>
      <c r="F9" s="76"/>
      <c r="G9" s="12">
        <f>'Fane 3. Korrigeret grundlag'!G12-'Fane 3. Korrigeret grundlag'!G11+SUM('Fane 2.1. Økonomisk ramme 2018'!E13:E15,'Fane 2.1. Økonomisk ramme 2018'!E17:E18)</f>
        <v>25101171.761343077</v>
      </c>
      <c r="H9" s="23" t="s">
        <v>4</v>
      </c>
      <c r="I9" s="2"/>
    </row>
    <row r="10" spans="1:9" x14ac:dyDescent="0.25">
      <c r="A10" s="2"/>
      <c r="B10" s="37" t="s">
        <v>194</v>
      </c>
      <c r="C10" s="38"/>
      <c r="D10" s="38"/>
      <c r="E10" s="38"/>
      <c r="F10" s="39"/>
      <c r="G10" s="12">
        <v>-922817.68065040163</v>
      </c>
      <c r="H10" s="23" t="s">
        <v>4</v>
      </c>
      <c r="I10" s="2"/>
    </row>
    <row r="11" spans="1:9" x14ac:dyDescent="0.25">
      <c r="A11" s="2"/>
      <c r="B11" s="86" t="s">
        <v>37</v>
      </c>
      <c r="C11" s="75"/>
      <c r="D11" s="75"/>
      <c r="E11" s="75"/>
      <c r="F11" s="76"/>
      <c r="G11" s="26">
        <v>1.1729826545626805</v>
      </c>
      <c r="H11" s="23" t="s">
        <v>38</v>
      </c>
      <c r="I11" s="2"/>
    </row>
    <row r="12" spans="1:9" x14ac:dyDescent="0.25">
      <c r="A12" s="2"/>
      <c r="B12" s="71" t="s">
        <v>15</v>
      </c>
      <c r="C12" s="72"/>
      <c r="D12" s="72"/>
      <c r="E12" s="72"/>
      <c r="F12" s="73"/>
      <c r="G12" s="21">
        <f>($G$9+G10)*(1+'Fane 2.1. Økonomisk ramme 2018'!E19/100)*($G$11/100)</f>
        <v>288571.0377669654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15390429.455253001</v>
      </c>
      <c r="H9" s="23" t="s">
        <v>4</v>
      </c>
      <c r="I9" s="2"/>
    </row>
    <row r="10" spans="1:9" x14ac:dyDescent="0.25">
      <c r="A10" s="2"/>
      <c r="B10" s="43" t="s">
        <v>193</v>
      </c>
      <c r="C10" s="44"/>
      <c r="D10" s="44"/>
      <c r="E10" s="44"/>
      <c r="F10" s="45"/>
      <c r="G10" s="12">
        <v>-337095.86</v>
      </c>
      <c r="H10" s="23" t="s">
        <v>4</v>
      </c>
      <c r="I10" s="2"/>
    </row>
    <row r="11" spans="1:9" x14ac:dyDescent="0.25">
      <c r="A11" s="2"/>
      <c r="B11" s="86" t="s">
        <v>16</v>
      </c>
      <c r="C11" s="75"/>
      <c r="D11" s="75"/>
      <c r="E11" s="75"/>
      <c r="F11" s="76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2018'!E19/100)*$G$11/100</f>
        <v>306335.33866339864</v>
      </c>
      <c r="H12" s="28" t="s">
        <v>4</v>
      </c>
      <c r="I12" s="2"/>
    </row>
    <row r="13" spans="1:9" x14ac:dyDescent="0.25">
      <c r="A13" s="2"/>
      <c r="B13" s="86" t="s">
        <v>48</v>
      </c>
      <c r="C13" s="75"/>
      <c r="D13" s="75"/>
      <c r="E13" s="75"/>
      <c r="F13" s="76"/>
      <c r="G13" s="12">
        <f>'Fane 3. Korrigeret grundlag'!G10+SUM('Fane 2.1. Økonomisk ramme 2018'!E15,'Fane 2.1. Økonomisk ramme 2018'!E18)</f>
        <v>9710742.3060900755</v>
      </c>
      <c r="H13" s="23" t="s">
        <v>4</v>
      </c>
      <c r="I13" s="2"/>
    </row>
    <row r="14" spans="1:9" x14ac:dyDescent="0.25">
      <c r="A14" s="2"/>
      <c r="B14" s="37" t="s">
        <v>195</v>
      </c>
      <c r="C14" s="38"/>
      <c r="D14" s="38"/>
      <c r="E14" s="38"/>
      <c r="F14" s="39"/>
      <c r="G14" s="12">
        <v>-82772.968123567625</v>
      </c>
      <c r="H14" s="23" t="s">
        <v>4</v>
      </c>
      <c r="I14" s="2"/>
    </row>
    <row r="15" spans="1:9" x14ac:dyDescent="0.25">
      <c r="A15" s="2"/>
      <c r="B15" s="86" t="s">
        <v>16</v>
      </c>
      <c r="C15" s="75"/>
      <c r="D15" s="75"/>
      <c r="E15" s="75"/>
      <c r="F15" s="76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2018'!E19/100)*$G$15/100</f>
        <v>173397.3207844423</v>
      </c>
      <c r="H16" s="28" t="s">
        <v>4</v>
      </c>
      <c r="I16" s="2"/>
    </row>
    <row r="17" spans="1:9" x14ac:dyDescent="0.25">
      <c r="A17" s="2"/>
      <c r="B17" s="71" t="s">
        <v>52</v>
      </c>
      <c r="C17" s="72"/>
      <c r="D17" s="72"/>
      <c r="E17" s="72"/>
      <c r="F17" s="73"/>
      <c r="G17" s="21">
        <f>G12+G16</f>
        <v>479732.65944784094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54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42</v>
      </c>
      <c r="C9" s="75"/>
      <c r="D9" s="75"/>
      <c r="E9" s="75"/>
      <c r="F9" s="76"/>
      <c r="G9" s="12">
        <v>-604033.82555209019</v>
      </c>
      <c r="H9" s="23" t="s">
        <v>4</v>
      </c>
      <c r="I9" s="2"/>
    </row>
    <row r="10" spans="1:9" x14ac:dyDescent="0.25">
      <c r="A10" s="2"/>
      <c r="B10" s="86" t="s">
        <v>122</v>
      </c>
      <c r="C10" s="75"/>
      <c r="D10" s="75"/>
      <c r="E10" s="75"/>
      <c r="F10" s="76"/>
      <c r="G10" s="12">
        <v>-604033.82555209019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</v>
      </c>
      <c r="H11" s="29" t="s">
        <v>4</v>
      </c>
      <c r="I11" s="2"/>
    </row>
    <row r="12" spans="1:9" x14ac:dyDescent="0.25">
      <c r="A12" s="2"/>
      <c r="B12" s="86" t="s">
        <v>43</v>
      </c>
      <c r="C12" s="75"/>
      <c r="D12" s="75"/>
      <c r="E12" s="75"/>
      <c r="F12" s="76"/>
      <c r="G12" s="12">
        <v>0</v>
      </c>
      <c r="H12" s="23" t="s">
        <v>127</v>
      </c>
      <c r="I12" s="2"/>
    </row>
    <row r="13" spans="1:9" x14ac:dyDescent="0.25">
      <c r="A13" s="2"/>
      <c r="B13" s="71" t="s">
        <v>41</v>
      </c>
      <c r="C13" s="72"/>
      <c r="D13" s="72"/>
      <c r="E13" s="72"/>
      <c r="F13" s="7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75</v>
      </c>
      <c r="C8" s="72"/>
      <c r="D8" s="72"/>
      <c r="E8" s="72"/>
      <c r="F8" s="72"/>
      <c r="G8" s="73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75</v>
      </c>
      <c r="E10" s="12">
        <v>10913004</v>
      </c>
      <c r="F10" s="12">
        <f>E10/D10</f>
        <v>145506.72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5</v>
      </c>
      <c r="E11" s="12">
        <v>1452991</v>
      </c>
      <c r="F11" s="12">
        <f t="shared" ref="F11:F31" si="0">E11/D11</f>
        <v>290598.2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20</v>
      </c>
      <c r="E12" s="12">
        <v>558047</v>
      </c>
      <c r="F12" s="12">
        <f t="shared" si="0"/>
        <v>27902.35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10</v>
      </c>
      <c r="E13" s="12">
        <v>66566</v>
      </c>
      <c r="F13" s="12">
        <f t="shared" si="0"/>
        <v>6656.6</v>
      </c>
      <c r="G13" s="23" t="s">
        <v>4</v>
      </c>
      <c r="H13" s="2"/>
    </row>
    <row r="14" spans="1:8" x14ac:dyDescent="0.25">
      <c r="A14" s="2"/>
      <c r="B14" s="103" t="s">
        <v>153</v>
      </c>
      <c r="C14" s="30">
        <v>2016</v>
      </c>
      <c r="D14" s="30">
        <v>10</v>
      </c>
      <c r="E14" s="12">
        <v>140671</v>
      </c>
      <c r="F14" s="12">
        <f t="shared" si="0"/>
        <v>14067.1</v>
      </c>
      <c r="G14" s="23" t="s">
        <v>4</v>
      </c>
      <c r="H14" s="2"/>
    </row>
    <row r="15" spans="1:8" x14ac:dyDescent="0.25">
      <c r="A15" s="2"/>
      <c r="B15" s="103" t="s">
        <v>154</v>
      </c>
      <c r="C15" s="30">
        <v>2016</v>
      </c>
      <c r="D15" s="30">
        <v>5</v>
      </c>
      <c r="E15" s="12">
        <v>66500</v>
      </c>
      <c r="F15" s="12">
        <f t="shared" si="0"/>
        <v>13300</v>
      </c>
      <c r="G15" s="23" t="s">
        <v>4</v>
      </c>
      <c r="H15" s="2"/>
    </row>
    <row r="16" spans="1:8" x14ac:dyDescent="0.25">
      <c r="A16" s="2"/>
      <c r="B16" s="103" t="s">
        <v>155</v>
      </c>
      <c r="C16" s="30">
        <v>2016</v>
      </c>
      <c r="D16" s="30">
        <v>5</v>
      </c>
      <c r="E16" s="12">
        <v>460406</v>
      </c>
      <c r="F16" s="12">
        <f t="shared" si="0"/>
        <v>92081.2</v>
      </c>
      <c r="G16" s="23" t="s">
        <v>4</v>
      </c>
      <c r="H16" s="2"/>
    </row>
    <row r="17" spans="1:8" x14ac:dyDescent="0.25">
      <c r="A17" s="2"/>
      <c r="B17" s="103" t="s">
        <v>156</v>
      </c>
      <c r="C17" s="30">
        <v>2016</v>
      </c>
      <c r="D17" s="30">
        <v>75</v>
      </c>
      <c r="E17" s="12">
        <v>125000</v>
      </c>
      <c r="F17" s="12">
        <f t="shared" si="0"/>
        <v>1666.6666666666667</v>
      </c>
      <c r="G17" s="23" t="s">
        <v>4</v>
      </c>
      <c r="H17" s="2"/>
    </row>
    <row r="18" spans="1:8" x14ac:dyDescent="0.25">
      <c r="A18" s="2"/>
      <c r="B18" s="103" t="s">
        <v>157</v>
      </c>
      <c r="C18" s="30">
        <v>2016</v>
      </c>
      <c r="D18" s="30">
        <v>20</v>
      </c>
      <c r="E18" s="12">
        <v>71065</v>
      </c>
      <c r="F18" s="12">
        <f t="shared" si="0"/>
        <v>3553.25</v>
      </c>
      <c r="G18" s="23" t="s">
        <v>4</v>
      </c>
      <c r="H18" s="2"/>
    </row>
    <row r="19" spans="1:8" x14ac:dyDescent="0.25">
      <c r="A19" s="2"/>
      <c r="B19" s="103" t="s">
        <v>158</v>
      </c>
      <c r="C19" s="30">
        <v>2016</v>
      </c>
      <c r="D19" s="30">
        <v>10</v>
      </c>
      <c r="E19" s="12">
        <v>10485</v>
      </c>
      <c r="F19" s="12">
        <f t="shared" si="0"/>
        <v>1048.5</v>
      </c>
      <c r="G19" s="23" t="s">
        <v>4</v>
      </c>
      <c r="H19" s="2"/>
    </row>
    <row r="20" spans="1:8" ht="26.25" x14ac:dyDescent="0.25">
      <c r="A20" s="2"/>
      <c r="B20" s="103" t="s">
        <v>159</v>
      </c>
      <c r="C20" s="30">
        <v>2016</v>
      </c>
      <c r="D20" s="30">
        <v>60</v>
      </c>
      <c r="E20" s="12">
        <v>18470</v>
      </c>
      <c r="F20" s="12">
        <f t="shared" si="0"/>
        <v>307.83333333333331</v>
      </c>
      <c r="G20" s="23" t="s">
        <v>4</v>
      </c>
      <c r="H20" s="2"/>
    </row>
    <row r="21" spans="1:8" x14ac:dyDescent="0.25">
      <c r="A21" s="2"/>
      <c r="B21" s="103" t="s">
        <v>160</v>
      </c>
      <c r="C21" s="30">
        <v>2016</v>
      </c>
      <c r="D21" s="30">
        <v>20</v>
      </c>
      <c r="E21" s="12">
        <v>45863</v>
      </c>
      <c r="F21" s="12">
        <f t="shared" si="0"/>
        <v>2293.15</v>
      </c>
      <c r="G21" s="23" t="s">
        <v>4</v>
      </c>
      <c r="H21" s="2"/>
    </row>
    <row r="22" spans="1:8" x14ac:dyDescent="0.25">
      <c r="A22" s="2"/>
      <c r="B22" s="103" t="s">
        <v>161</v>
      </c>
      <c r="C22" s="30">
        <v>2016</v>
      </c>
      <c r="D22" s="30">
        <v>20</v>
      </c>
      <c r="E22" s="12">
        <v>145721</v>
      </c>
      <c r="F22" s="12">
        <f t="shared" si="0"/>
        <v>7286.05</v>
      </c>
      <c r="G22" s="23" t="s">
        <v>4</v>
      </c>
      <c r="H22" s="2"/>
    </row>
    <row r="23" spans="1:8" x14ac:dyDescent="0.25">
      <c r="A23" s="2"/>
      <c r="B23" s="103" t="s">
        <v>150</v>
      </c>
      <c r="C23" s="30">
        <v>2016</v>
      </c>
      <c r="D23" s="30">
        <v>5</v>
      </c>
      <c r="E23" s="12">
        <v>88865</v>
      </c>
      <c r="F23" s="12">
        <f t="shared" si="0"/>
        <v>17773</v>
      </c>
      <c r="G23" s="23" t="s">
        <v>4</v>
      </c>
      <c r="H23" s="2"/>
    </row>
    <row r="24" spans="1:8" x14ac:dyDescent="0.25">
      <c r="A24" s="2"/>
      <c r="B24" s="103" t="s">
        <v>150</v>
      </c>
      <c r="C24" s="30">
        <v>2016</v>
      </c>
      <c r="D24" s="30">
        <v>5</v>
      </c>
      <c r="E24" s="12">
        <v>26070</v>
      </c>
      <c r="F24" s="12">
        <f t="shared" si="0"/>
        <v>5214</v>
      </c>
      <c r="G24" s="23" t="s">
        <v>4</v>
      </c>
      <c r="H24" s="2"/>
    </row>
    <row r="25" spans="1:8" ht="26.25" x14ac:dyDescent="0.25">
      <c r="A25" s="2"/>
      <c r="B25" s="103" t="s">
        <v>162</v>
      </c>
      <c r="C25" s="30">
        <v>2016</v>
      </c>
      <c r="D25" s="30">
        <v>25</v>
      </c>
      <c r="E25" s="12">
        <v>2920065</v>
      </c>
      <c r="F25" s="12">
        <f t="shared" si="0"/>
        <v>116802.6</v>
      </c>
      <c r="G25" s="23" t="s">
        <v>4</v>
      </c>
      <c r="H25" s="2"/>
    </row>
    <row r="26" spans="1:8" x14ac:dyDescent="0.25">
      <c r="A26" s="2"/>
      <c r="B26" s="103" t="s">
        <v>150</v>
      </c>
      <c r="C26" s="30">
        <v>2016</v>
      </c>
      <c r="D26" s="30">
        <v>5</v>
      </c>
      <c r="E26" s="12">
        <v>44894</v>
      </c>
      <c r="F26" s="12">
        <f t="shared" si="0"/>
        <v>8978.7999999999993</v>
      </c>
      <c r="G26" s="23" t="s">
        <v>4</v>
      </c>
      <c r="H26" s="2"/>
    </row>
    <row r="27" spans="1:8" ht="26.25" x14ac:dyDescent="0.25">
      <c r="A27" s="2"/>
      <c r="B27" s="103" t="s">
        <v>163</v>
      </c>
      <c r="C27" s="30">
        <v>2016</v>
      </c>
      <c r="D27" s="30">
        <v>10</v>
      </c>
      <c r="E27" s="12">
        <v>49104</v>
      </c>
      <c r="F27" s="12">
        <f t="shared" si="0"/>
        <v>4910.3999999999996</v>
      </c>
      <c r="G27" s="23" t="s">
        <v>4</v>
      </c>
      <c r="H27" s="2"/>
    </row>
    <row r="28" spans="1:8" x14ac:dyDescent="0.25">
      <c r="A28" s="2"/>
      <c r="B28" s="103" t="s">
        <v>164</v>
      </c>
      <c r="C28" s="30">
        <v>2016</v>
      </c>
      <c r="D28" s="30">
        <v>75</v>
      </c>
      <c r="E28" s="12">
        <v>204710</v>
      </c>
      <c r="F28" s="12">
        <f t="shared" si="0"/>
        <v>2729.4666666666667</v>
      </c>
      <c r="G28" s="23" t="s">
        <v>4</v>
      </c>
      <c r="H28" s="2"/>
    </row>
    <row r="29" spans="1:8" ht="26.25" x14ac:dyDescent="0.25">
      <c r="A29" s="2"/>
      <c r="B29" s="103" t="s">
        <v>165</v>
      </c>
      <c r="C29" s="30">
        <v>2016</v>
      </c>
      <c r="D29" s="30">
        <v>10</v>
      </c>
      <c r="E29" s="12">
        <v>71130</v>
      </c>
      <c r="F29" s="12">
        <f t="shared" si="0"/>
        <v>7113</v>
      </c>
      <c r="G29" s="23" t="s">
        <v>4</v>
      </c>
      <c r="H29" s="2"/>
    </row>
    <row r="30" spans="1:8" x14ac:dyDescent="0.25">
      <c r="A30" s="2"/>
      <c r="B30" s="103" t="s">
        <v>150</v>
      </c>
      <c r="C30" s="30">
        <v>2016</v>
      </c>
      <c r="D30" s="30">
        <v>5</v>
      </c>
      <c r="E30" s="12">
        <v>35252</v>
      </c>
      <c r="F30" s="12">
        <f t="shared" si="0"/>
        <v>7050.4</v>
      </c>
      <c r="G30" s="23" t="s">
        <v>4</v>
      </c>
      <c r="H30" s="2"/>
    </row>
    <row r="31" spans="1:8" x14ac:dyDescent="0.25">
      <c r="A31" s="2"/>
      <c r="B31" s="103" t="s">
        <v>150</v>
      </c>
      <c r="C31" s="30">
        <v>2016</v>
      </c>
      <c r="D31" s="30">
        <v>5</v>
      </c>
      <c r="E31" s="12">
        <v>728628</v>
      </c>
      <c r="F31" s="12">
        <f t="shared" si="0"/>
        <v>145725.6</v>
      </c>
      <c r="G31" s="23" t="s">
        <v>4</v>
      </c>
      <c r="H31" s="2"/>
    </row>
    <row r="32" spans="1:8" x14ac:dyDescent="0.25">
      <c r="A32" s="2"/>
      <c r="B32" s="71" t="s">
        <v>76</v>
      </c>
      <c r="C32" s="72"/>
      <c r="D32" s="72"/>
      <c r="E32" s="73"/>
      <c r="F32" s="21">
        <f>SUM(F10:F31)</f>
        <v>922564.88666666672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2018-08-13T12:11:03Z</dcterms:modified>
</cp:coreProperties>
</file>