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2.3. Økonomisk ramme 2020" sheetId="22" r:id="rId4"/>
    <sheet name="Fane 2.4. Økonomisk ramme 2021" sheetId="23" r:id="rId5"/>
    <sheet name="Fane 3. Korrigeret grundlag" sheetId="7" r:id="rId6"/>
    <sheet name="Fane 4. Ikke-påvirkelige omk." sheetId="19" r:id="rId7"/>
    <sheet name="Fane 5. Individuelt eff.krav" sheetId="8" r:id="rId8"/>
    <sheet name="Fane 6. Generelt eff.krav" sheetId="9" r:id="rId9"/>
    <sheet name="Fane 7. Hist. over el. underdæk" sheetId="10" r:id="rId10"/>
    <sheet name="Fane 8. Gen. inv. i 2016" sheetId="11" r:id="rId11"/>
    <sheet name="Fane 9. Korrektion af PL2016" sheetId="12" r:id="rId12"/>
    <sheet name="Fane 10. Kontrol af PL2016" sheetId="13" r:id="rId13"/>
    <sheet name="Fane 11. Tillæg" sheetId="20" r:id="rId14"/>
    <sheet name="Fane 12. Bortfald" sheetId="21" r:id="rId15"/>
  </sheets>
  <calcPr calcId="145621"/>
</workbook>
</file>

<file path=xl/calcChain.xml><?xml version="1.0" encoding="utf-8"?>
<calcChain xmlns="http://schemas.openxmlformats.org/spreadsheetml/2006/main">
  <c r="E13" i="23" l="1"/>
  <c r="E10" i="23"/>
  <c r="E16" i="22"/>
  <c r="G16" i="22" s="1"/>
  <c r="E13" i="22"/>
  <c r="E10" i="22"/>
  <c r="E13" i="15" l="1"/>
  <c r="G13" i="9" l="1"/>
  <c r="G9" i="9"/>
  <c r="G9" i="8"/>
  <c r="G13" i="10" l="1"/>
  <c r="G16" i="9" l="1"/>
  <c r="G12" i="9"/>
  <c r="G12" i="8"/>
  <c r="E12" i="2"/>
  <c r="G11" i="10" l="1"/>
  <c r="F18" i="20"/>
  <c r="F19" i="20" s="1"/>
  <c r="E15" i="2" s="1"/>
  <c r="F46" i="11" l="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F11" i="20" l="1"/>
  <c r="F12" i="20" s="1"/>
  <c r="E14" i="2" s="1"/>
  <c r="D11" i="20"/>
  <c r="E17" i="2"/>
  <c r="E16" i="2"/>
  <c r="D12" i="20" l="1"/>
  <c r="E13" i="2" s="1"/>
  <c r="E10" i="2" l="1"/>
  <c r="G18" i="19"/>
  <c r="G19" i="19" s="1"/>
  <c r="E11" i="2" s="1"/>
  <c r="G12" i="7"/>
  <c r="E10" i="15" l="1"/>
  <c r="E9" i="2"/>
  <c r="E19" i="2" s="1"/>
  <c r="E15" i="13"/>
  <c r="F11" i="11"/>
  <c r="F47" i="11"/>
  <c r="E16" i="15" l="1"/>
  <c r="G16" i="15" s="1"/>
  <c r="G11" i="9" l="1"/>
  <c r="G30" i="13"/>
  <c r="E35" i="13" l="1"/>
  <c r="G35" i="13" s="1"/>
  <c r="E27" i="13"/>
  <c r="E19" i="13"/>
  <c r="G11" i="12"/>
  <c r="E26" i="2" s="1"/>
  <c r="G29" i="12"/>
  <c r="E29" i="2" s="1"/>
  <c r="G23" i="12"/>
  <c r="E28" i="2" s="1"/>
  <c r="G17" i="12"/>
  <c r="E27" i="2" s="1"/>
  <c r="F10" i="11"/>
  <c r="F48" i="11" s="1"/>
  <c r="E24" i="2"/>
  <c r="G24" i="2" s="1"/>
  <c r="G33" i="12" l="1"/>
  <c r="G35" i="12" s="1"/>
  <c r="E30" i="2" s="1"/>
  <c r="E28" i="13"/>
  <c r="G28" i="13" s="1"/>
  <c r="G36" i="13" s="1"/>
  <c r="E33" i="2" s="1"/>
  <c r="G33" i="2" s="1"/>
  <c r="G17" i="9"/>
  <c r="E21" i="2" s="1"/>
  <c r="E31" i="2" l="1"/>
  <c r="G31" i="2" s="1"/>
  <c r="E20" i="2" l="1"/>
  <c r="E22" i="2" s="1"/>
  <c r="G22" i="2" l="1"/>
  <c r="G34" i="2" l="1"/>
  <c r="E9" i="15"/>
  <c r="E12" i="15" s="1"/>
  <c r="E11" i="15" l="1"/>
  <c r="E14" i="15" s="1"/>
  <c r="G14" i="15" s="1"/>
  <c r="G17" i="15" l="1"/>
  <c r="E9" i="22"/>
  <c r="E12" i="22" l="1"/>
  <c r="E11" i="22"/>
  <c r="E14" i="22" l="1"/>
  <c r="G14" i="22" s="1"/>
  <c r="G17" i="22" s="1"/>
  <c r="E9" i="23"/>
  <c r="E11" i="23" l="1"/>
  <c r="E12" i="23"/>
  <c r="E14" i="23" l="1"/>
  <c r="G14" i="23" s="1"/>
  <c r="G15" i="23" s="1"/>
</calcChain>
</file>

<file path=xl/sharedStrings.xml><?xml version="1.0" encoding="utf-8"?>
<sst xmlns="http://schemas.openxmlformats.org/spreadsheetml/2006/main" count="445" uniqueCount="216">
  <si>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</si>
  <si>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</si>
  <si>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</si>
  <si>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</si>
  <si>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</si>
  <si>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</si>
  <si>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</si>
  <si>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</si>
  <si>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</si>
  <si>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</si>
  <si>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</si>
  <si>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</si>
  <si>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</si>
  <si>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</si>
  <si>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</si>
  <si>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</si>
  <si>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</si>
  <si>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</si>
  <si>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</si>
  <si>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</si>
  <si>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</si>
  <si>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</si>
  <si>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</si>
  <si>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</si>
  <si>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</si>
  <si>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</si>
  <si>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</si>
  <si>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</si>
  <si>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</si>
  <si>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</si>
  <si>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</si>
  <si>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</si>
  <si>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</si>
  <si>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</si>
  <si>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</si>
  <si>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</si>
  <si>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</si>
  <si>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</si>
  <si>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</si>
  <si>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</si>
  <si>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</si>
  <si>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</si>
  <si>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</si>
  <si>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</si>
  <si>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</si>
  <si>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</si>
  <si>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</si>
  <si>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</si>
  <si>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</si>
  <si>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</si>
  <si>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</si>
  <si>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</si>
  <si>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</si>
  <si>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</si>
  <si>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</si>
  <si>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</si>
  <si>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</si>
  <si>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</si>
  <si>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</si>
  <si>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</si>
  <si>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</si>
  <si>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</si>
  <si>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</si>
  <si>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</si>
  <si>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</si>
  <si>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</si>
  <si>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</si>
  <si>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</si>
  <si>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</si>
  <si>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</si>
  <si>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</si>
  <si>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</si>
  <si>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</si>
  <si>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</si>
  <si>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</si>
  <si>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</si>
  <si>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</si>
  <si>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</si>
  <si>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</si>
  <si>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</si>
  <si>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</si>
  <si>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</si>
  <si>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</si>
  <si>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</si>
  <si>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</si>
  <si>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</si>
  <si>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</si>
  <si>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</si>
  <si>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</si>
  <si>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</si>
  <si>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</si>
  <si>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</si>
  <si>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</si>
  <si>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</si>
  <si>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</si>
  <si>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</si>
  <si>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</si>
  <si>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</si>
  <si>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</si>
  <si>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</si>
  <si>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</si>
  <si>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</si>
  <si>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</si>
  <si>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</si>
  <si>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</si>
  <si>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</si>
  <si>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</si>
  <si>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</si>
  <si>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</si>
  <si>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</si>
  <si>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</si>
  <si>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</si>
  <si>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</si>
  <si>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</si>
  <si>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</si>
  <si>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</si>
  <si>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</si>
  <si>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</si>
  <si>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</si>
  <si>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</si>
  <si>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</si>
  <si>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</si>
  <si>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</si>
  <si>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</si>
  <si>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</si>
  <si>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</si>
  <si>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</si>
  <si>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</si>
  <si>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</si>
  <si>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</si>
  <si>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</si>
  <si>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</si>
  <si>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</si>
  <si>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</si>
  <si>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</si>
  <si>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</si>
  <si>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</si>
  <si>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</si>
  <si>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</si>
  <si>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</si>
  <si>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</si>
  <si>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</si>
  <si>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</si>
  <si>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</si>
  <si>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</si>
  <si>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</si>
  <si>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Arbejdsplads</t>
  </si>
  <si>
    <t>Køretøjer, entreprenørmaskiner</t>
  </si>
  <si>
    <t>Kælder</t>
  </si>
  <si>
    <t>Pumpestationer i brønde (&lt; 6,25 m2), Mek/EL</t>
  </si>
  <si>
    <t>Pumpestationer i brønde (&lt; 6,25 m2), Konstruktioner</t>
  </si>
  <si>
    <t>Pumpestationer i brønde (&lt; 6,25 m2), SRO</t>
  </si>
  <si>
    <t>Pumpestationer m. overbygning (&lt; 20 m2), Mek/EL</t>
  </si>
  <si>
    <t>Pumpestationer m. overbygning (&lt; 20 m2), Konstruktioner</t>
  </si>
  <si>
    <t>Pumpestationer m. overbygning (&lt; 20 m2), SRO</t>
  </si>
  <si>
    <t>Pumpestationer i underjordiske bygværker (&lt;50 m2), Mek/El</t>
  </si>
  <si>
    <t>Pumpeinstallation Miljøklasse B (300-600 l/s) - Mek/EL</t>
  </si>
  <si>
    <t>Pumpeinstallation Miljøklasse A (600-1.000 l/s) - Mek/EL</t>
  </si>
  <si>
    <t>Jordbassin Klasse A</t>
  </si>
  <si>
    <t>Slutafvanding, slam - højteknologisk (centrifuger), SRO</t>
  </si>
  <si>
    <t>Forklaring, Konstruktioner</t>
  </si>
  <si>
    <t>Forklaring, Mek/EL</t>
  </si>
  <si>
    <t>Forklaring, SRO</t>
  </si>
  <si>
    <t>Gasdisponering, Konstruktioner</t>
  </si>
  <si>
    <t>Gasdisponering, Mek/EL</t>
  </si>
  <si>
    <t>Gasdisponering, SRO</t>
  </si>
  <si>
    <t>Rådnetanke, slam, Konstruktioner</t>
  </si>
  <si>
    <t>Rådnetanke, slam, Mek/EL</t>
  </si>
  <si>
    <t>Rådnetanke, slam, SRO</t>
  </si>
  <si>
    <t>Slutdisponering, slam - højteknologisk (slamtørring), Mek/EL</t>
  </si>
  <si>
    <t>Ledningsnet ≤ Ø 200 mm</t>
  </si>
  <si>
    <t>Ø 200 mm &lt; Ledningsnet ≤ Ø 500 mm</t>
  </si>
  <si>
    <t>Ø 500 mm &lt; Ledningsnet ≤ Ø 800 mm</t>
  </si>
  <si>
    <t>Ø 800 mm &lt; Ledningsnet ≤ Ø 1000 mm</t>
  </si>
  <si>
    <t>Ø 1000 mm &lt; Ledningsnet ≤ Ø 1200 mm</t>
  </si>
  <si>
    <t>Ø 1200 mm &lt; Ledningsnet ≤ Ø 1600 mm</t>
  </si>
  <si>
    <t>Ledningsnet &gt; Ø 1600 mm (rørbassiner og transportledninger)</t>
  </si>
  <si>
    <t>Strømpeforing ≤ Ø 200 mm</t>
  </si>
  <si>
    <t>Strømpeforing Ø 200 mm &lt; Ledningsnet ≤ Ø 500 mm</t>
  </si>
  <si>
    <t>Strømpeforing Ø 500 mm &lt; Ledningsnet ≤ Ø 800 mm</t>
  </si>
  <si>
    <t>Strømpeforing Ø 1000 mm &lt; Ledningsnet ≤ Ø 1200 mm</t>
  </si>
  <si>
    <t>Strømpeforing Ø 1200 mm &lt; Ledningsnet ≤ Ø 1600 mm</t>
  </si>
  <si>
    <t>Brønde</t>
  </si>
  <si>
    <t>Stik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</si>
  <si>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</si>
  <si>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</si>
  <si>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</si>
  <si>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</si>
  <si>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</si>
  <si>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</si>
  <si>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</si>
  <si>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</si>
  <si>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Fjernelse af fejlkoblinger (§ 11, stk. 1)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</si>
  <si>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</si>
  <si>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</si>
  <si>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</si>
  <si>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</si>
  <si>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</si>
  <si>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</si>
  <si>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</si>
  <si>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</si>
  <si>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</si>
  <si>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</si>
  <si>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</si>
  <si>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</si>
  <si>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</si>
  <si>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</si>
  <si>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</si>
  <si>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</si>
  <si>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</si>
  <si>
    <t>Fane 2.3: Samlet økonomisk ramme for 2020</t>
  </si>
  <si>
    <t>Omkostninger i den økonomiske ramme for 2019</t>
  </si>
  <si>
    <t>Økonomisk ramme for 2020</t>
  </si>
  <si>
    <t>Fane 2.4: Samlet økonomisk ramme for 2021</t>
  </si>
  <si>
    <t>Omkostninger i den økonomiske ramme for 2020</t>
  </si>
  <si>
    <t>Økonomisk ramme for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</si>
</sst>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08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8" fillId="10" borderId="1" xfId="0" applyNumberFormat="1" applyFont="1" applyFill="1" applyBorder="1" applyProtection="1"/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1" fillId="4" borderId="1" xfId="0" applyNumberFormat="1" applyFont="1" applyFill="1" applyBorder="1" applyProtection="1"/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3" fontId="8" fillId="10" borderId="1" xfId="1" applyNumberFormat="1" applyFont="1" applyFill="1" applyBorder="1" applyAlignment="1" applyProtection="1"/>
    <xf numFmtId="49" fontId="8" fillId="10" borderId="2" xfId="0" applyNumberFormat="1" applyFont="1" applyFill="1" applyBorder="1" applyAlignment="1" applyProtection="1">
      <alignment horizontal="left" wrapText="1"/>
    </xf>
    <xf numFmtId="49" fontId="8" fillId="10" borderId="2" xfId="0" applyNumberFormat="1" applyFont="1" applyFill="1" applyBorder="1" applyAlignment="1" applyProtection="1">
      <alignment horizontal="left"/>
    </xf>
    <xf numFmtId="49" fontId="8" fillId="10" borderId="3" xfId="0" applyNumberFormat="1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/>
    <xf numFmtId="49" fontId="8" fillId="10" borderId="10" xfId="0" applyNumberFormat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/>
    <xf numFmtId="49" fontId="8" fillId="10" borderId="10" xfId="0" applyNumberFormat="1" applyFont="1" applyFill="1" applyBorder="1" applyAlignment="1" applyProtection="1"/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4" t="s">
        <v>5</v>
      </c>
      <c r="E6" s="54"/>
      <c r="F6" s="54"/>
      <c r="G6" s="54"/>
      <c r="H6" s="4"/>
      <c r="I6" s="2"/>
    </row>
    <row r="7" spans="1:9" ht="15" customHeight="1" x14ac:dyDescent="0.25">
      <c r="A7" s="2"/>
      <c r="B7" s="2"/>
      <c r="C7" s="4"/>
      <c r="D7" s="54"/>
      <c r="E7" s="54"/>
      <c r="F7" s="54"/>
      <c r="G7" s="54"/>
      <c r="H7" s="4"/>
      <c r="I7" s="2"/>
    </row>
    <row r="8" spans="1:9" ht="15.75" x14ac:dyDescent="0.25">
      <c r="A8" s="2"/>
      <c r="B8" s="2"/>
      <c r="C8" s="5"/>
      <c r="D8" s="59" t="s">
        <v>122</v>
      </c>
      <c r="E8" s="59"/>
      <c r="F8" s="59"/>
      <c r="G8" s="5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58" t="s">
        <v>6</v>
      </c>
      <c r="E11" s="58"/>
      <c r="F11" s="58"/>
      <c r="G11" s="5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51" t="s">
        <v>69</v>
      </c>
      <c r="E13" s="52"/>
      <c r="F13" s="52"/>
      <c r="G13" s="53"/>
      <c r="H13" s="2"/>
      <c r="I13" s="2"/>
    </row>
    <row r="14" spans="1:9" x14ac:dyDescent="0.25">
      <c r="A14" s="2"/>
      <c r="B14" s="2"/>
      <c r="C14" s="7" t="s">
        <v>68</v>
      </c>
      <c r="D14" s="51" t="s">
        <v>70</v>
      </c>
      <c r="E14" s="52"/>
      <c r="F14" s="52"/>
      <c r="G14" s="53"/>
      <c r="H14" s="2"/>
      <c r="I14" s="2"/>
    </row>
    <row r="15" spans="1:9" x14ac:dyDescent="0.25">
      <c r="A15" s="2"/>
      <c r="B15" s="2"/>
      <c r="C15" s="7" t="s">
        <v>8</v>
      </c>
      <c r="D15" s="60" t="s">
        <v>63</v>
      </c>
      <c r="E15" s="61"/>
      <c r="F15" s="61"/>
      <c r="G15" s="62"/>
      <c r="H15" s="2"/>
      <c r="I15" s="2"/>
    </row>
    <row r="16" spans="1:9" x14ac:dyDescent="0.25">
      <c r="A16" s="2"/>
      <c r="B16" s="2"/>
      <c r="C16" s="7" t="s">
        <v>9</v>
      </c>
      <c r="D16" s="60" t="s">
        <v>49</v>
      </c>
      <c r="E16" s="61"/>
      <c r="F16" s="61"/>
      <c r="G16" s="62"/>
      <c r="H16" s="2"/>
      <c r="I16" s="2"/>
    </row>
    <row r="17" spans="1:9" x14ac:dyDescent="0.25">
      <c r="A17" s="2"/>
      <c r="B17" s="2"/>
      <c r="C17" s="7" t="s">
        <v>10</v>
      </c>
      <c r="D17" s="63" t="s">
        <v>15</v>
      </c>
      <c r="E17" s="64"/>
      <c r="F17" s="64"/>
      <c r="G17" s="65"/>
      <c r="H17" s="2"/>
      <c r="I17" s="2"/>
    </row>
    <row r="18" spans="1:9" x14ac:dyDescent="0.25">
      <c r="A18" s="2"/>
      <c r="B18" s="2"/>
      <c r="C18" s="7" t="s">
        <v>11</v>
      </c>
      <c r="D18" s="63" t="s">
        <v>16</v>
      </c>
      <c r="E18" s="64"/>
      <c r="F18" s="64"/>
      <c r="G18" s="65"/>
      <c r="H18" s="2"/>
      <c r="I18" s="2"/>
    </row>
    <row r="19" spans="1:9" x14ac:dyDescent="0.25">
      <c r="A19" s="2"/>
      <c r="B19" s="2"/>
      <c r="C19" s="7" t="s">
        <v>12</v>
      </c>
      <c r="D19" s="66" t="s">
        <v>17</v>
      </c>
      <c r="E19" s="67"/>
      <c r="F19" s="67"/>
      <c r="G19" s="68"/>
      <c r="H19" s="2"/>
      <c r="I19" s="2"/>
    </row>
    <row r="20" spans="1:9" x14ac:dyDescent="0.25">
      <c r="A20" s="2"/>
      <c r="B20" s="2"/>
      <c r="C20" s="7" t="s">
        <v>13</v>
      </c>
      <c r="D20" s="55" t="s">
        <v>75</v>
      </c>
      <c r="E20" s="56"/>
      <c r="F20" s="56"/>
      <c r="G20" s="57"/>
      <c r="H20" s="2"/>
      <c r="I20" s="2"/>
    </row>
    <row r="21" spans="1:9" x14ac:dyDescent="0.25">
      <c r="A21" s="2"/>
      <c r="B21" s="2"/>
      <c r="C21" s="7" t="s">
        <v>14</v>
      </c>
      <c r="D21" s="55" t="s">
        <v>98</v>
      </c>
      <c r="E21" s="56"/>
      <c r="F21" s="56"/>
      <c r="G21" s="57"/>
      <c r="H21" s="2"/>
      <c r="I21" s="2"/>
    </row>
    <row r="22" spans="1:9" x14ac:dyDescent="0.25">
      <c r="A22" s="2"/>
      <c r="B22" s="2"/>
      <c r="C22" s="7" t="s">
        <v>59</v>
      </c>
      <c r="D22" s="45" t="s">
        <v>142</v>
      </c>
      <c r="E22" s="46"/>
      <c r="F22" s="46"/>
      <c r="G22" s="47"/>
      <c r="H22" s="2"/>
      <c r="I22" s="2"/>
    </row>
    <row r="23" spans="1:9" x14ac:dyDescent="0.25">
      <c r="A23" s="2"/>
      <c r="B23" s="2"/>
      <c r="C23" s="7" t="s">
        <v>66</v>
      </c>
      <c r="D23" s="48" t="s">
        <v>65</v>
      </c>
      <c r="E23" s="49"/>
      <c r="F23" s="49"/>
      <c r="G23" s="50"/>
      <c r="H23" s="2"/>
      <c r="I23" s="2"/>
    </row>
    <row r="24" spans="1:9" x14ac:dyDescent="0.25">
      <c r="A24" s="2"/>
      <c r="B24" s="2"/>
      <c r="C24" s="7" t="s">
        <v>67</v>
      </c>
      <c r="D24" s="48" t="s">
        <v>64</v>
      </c>
      <c r="E24" s="49"/>
      <c r="F24" s="49"/>
      <c r="G24" s="50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73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54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3" t="s">
        <v>42</v>
      </c>
      <c r="C9" s="74"/>
      <c r="D9" s="74"/>
      <c r="E9" s="74"/>
      <c r="F9" s="75"/>
      <c r="G9" s="12">
        <v>43378850</v>
      </c>
      <c r="H9" s="23" t="s">
        <v>4</v>
      </c>
      <c r="I9" s="2"/>
    </row>
    <row r="10" spans="1:9" x14ac:dyDescent="0.25">
      <c r="A10" s="2"/>
      <c r="B10" s="73" t="s">
        <v>120</v>
      </c>
      <c r="C10" s="74"/>
      <c r="D10" s="74"/>
      <c r="E10" s="74"/>
      <c r="F10" s="75"/>
      <c r="G10" s="12">
        <v>31400232.513227515</v>
      </c>
      <c r="H10" s="23" t="s">
        <v>4</v>
      </c>
      <c r="I10" s="2"/>
    </row>
    <row r="11" spans="1:9" x14ac:dyDescent="0.25">
      <c r="A11" s="2"/>
      <c r="B11" s="95" t="s">
        <v>45</v>
      </c>
      <c r="C11" s="96"/>
      <c r="D11" s="96"/>
      <c r="E11" s="96"/>
      <c r="F11" s="97"/>
      <c r="G11" s="36">
        <f>G9-G10</f>
        <v>11978617.486772485</v>
      </c>
      <c r="H11" s="29" t="s">
        <v>4</v>
      </c>
      <c r="I11" s="2"/>
    </row>
    <row r="12" spans="1:9" x14ac:dyDescent="0.25">
      <c r="A12" s="2"/>
      <c r="B12" s="73" t="s">
        <v>43</v>
      </c>
      <c r="C12" s="74"/>
      <c r="D12" s="74"/>
      <c r="E12" s="74"/>
      <c r="F12" s="75"/>
      <c r="G12" s="12">
        <v>3</v>
      </c>
      <c r="H12" s="23" t="s">
        <v>125</v>
      </c>
      <c r="I12" s="2"/>
    </row>
    <row r="13" spans="1:9" x14ac:dyDescent="0.25">
      <c r="A13" s="2"/>
      <c r="B13" s="83" t="s">
        <v>41</v>
      </c>
      <c r="C13" s="84"/>
      <c r="D13" s="84"/>
      <c r="E13" s="84"/>
      <c r="F13" s="85"/>
      <c r="G13" s="21">
        <f>IF(G12 = 0,0,G11/G12)</f>
        <v>3992872.4955908284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2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69" t="s">
        <v>74</v>
      </c>
      <c r="C3" s="69"/>
      <c r="D3" s="69"/>
      <c r="E3" s="69"/>
      <c r="F3" s="69"/>
      <c r="G3" s="69"/>
      <c r="H3" s="2"/>
    </row>
    <row r="4" spans="1:8" ht="15" customHeight="1" x14ac:dyDescent="0.25">
      <c r="A4" s="2"/>
      <c r="B4" s="69"/>
      <c r="C4" s="69"/>
      <c r="D4" s="69"/>
      <c r="E4" s="69"/>
      <c r="F4" s="69"/>
      <c r="G4" s="6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75</v>
      </c>
      <c r="C8" s="84"/>
      <c r="D8" s="84"/>
      <c r="E8" s="84"/>
      <c r="F8" s="84"/>
      <c r="G8" s="85"/>
      <c r="H8" s="2"/>
    </row>
    <row r="9" spans="1:8" ht="39" customHeight="1" x14ac:dyDescent="0.25">
      <c r="A9" s="2"/>
      <c r="B9" s="44" t="s">
        <v>0</v>
      </c>
      <c r="C9" s="19" t="s">
        <v>1</v>
      </c>
      <c r="D9" s="44" t="s">
        <v>2</v>
      </c>
      <c r="E9" s="44" t="s">
        <v>44</v>
      </c>
      <c r="F9" s="98" t="s">
        <v>3</v>
      </c>
      <c r="G9" s="98"/>
      <c r="H9" s="2"/>
    </row>
    <row r="10" spans="1:8" x14ac:dyDescent="0.25">
      <c r="A10" s="2"/>
      <c r="B10" s="101" t="s">
        <v>146</v>
      </c>
      <c r="C10" s="30">
        <v>2016</v>
      </c>
      <c r="D10" s="30">
        <v>5</v>
      </c>
      <c r="E10" s="12">
        <v>1164785.6499999999</v>
      </c>
      <c r="F10" s="12">
        <f>E10/D10</f>
        <v>232957.12999999998</v>
      </c>
      <c r="G10" s="23" t="s">
        <v>4</v>
      </c>
      <c r="H10" s="2"/>
    </row>
    <row r="11" spans="1:8" x14ac:dyDescent="0.25">
      <c r="A11" s="2"/>
      <c r="B11" s="101" t="s">
        <v>147</v>
      </c>
      <c r="C11" s="30">
        <v>2016</v>
      </c>
      <c r="D11" s="30">
        <v>5</v>
      </c>
      <c r="E11" s="12">
        <v>375000</v>
      </c>
      <c r="F11" s="12">
        <f t="shared" ref="F11:F47" si="0">E11/D11</f>
        <v>75000</v>
      </c>
      <c r="G11" s="23" t="s">
        <v>4</v>
      </c>
      <c r="H11" s="2"/>
    </row>
    <row r="12" spans="1:8" x14ac:dyDescent="0.25">
      <c r="A12" s="2"/>
      <c r="B12" s="101" t="s">
        <v>148</v>
      </c>
      <c r="C12" s="30">
        <v>2016</v>
      </c>
      <c r="D12" s="30">
        <v>75</v>
      </c>
      <c r="E12" s="12">
        <v>630999</v>
      </c>
      <c r="F12" s="12">
        <f t="shared" si="0"/>
        <v>8413.32</v>
      </c>
      <c r="G12" s="23" t="s">
        <v>4</v>
      </c>
      <c r="H12" s="2"/>
    </row>
    <row r="13" spans="1:8" x14ac:dyDescent="0.25">
      <c r="A13" s="2"/>
      <c r="B13" s="101" t="s">
        <v>149</v>
      </c>
      <c r="C13" s="30">
        <v>2016</v>
      </c>
      <c r="D13" s="30">
        <v>20</v>
      </c>
      <c r="E13" s="12">
        <v>2061727.93</v>
      </c>
      <c r="F13" s="12">
        <f t="shared" si="0"/>
        <v>103086.3965</v>
      </c>
      <c r="G13" s="23" t="s">
        <v>4</v>
      </c>
      <c r="H13" s="2"/>
    </row>
    <row r="14" spans="1:8" ht="26.25" x14ac:dyDescent="0.25">
      <c r="A14" s="2"/>
      <c r="B14" s="101" t="s">
        <v>150</v>
      </c>
      <c r="C14" s="30">
        <v>2016</v>
      </c>
      <c r="D14" s="30">
        <v>50</v>
      </c>
      <c r="E14" s="12">
        <v>7027008.3399999999</v>
      </c>
      <c r="F14" s="12">
        <f t="shared" si="0"/>
        <v>140540.16680000001</v>
      </c>
      <c r="G14" s="23" t="s">
        <v>4</v>
      </c>
      <c r="H14" s="2"/>
    </row>
    <row r="15" spans="1:8" x14ac:dyDescent="0.25">
      <c r="A15" s="2"/>
      <c r="B15" s="101" t="s">
        <v>151</v>
      </c>
      <c r="C15" s="30">
        <v>2016</v>
      </c>
      <c r="D15" s="30">
        <v>10</v>
      </c>
      <c r="E15" s="12">
        <v>189614.99</v>
      </c>
      <c r="F15" s="12">
        <f t="shared" si="0"/>
        <v>18961.499</v>
      </c>
      <c r="G15" s="23" t="s">
        <v>4</v>
      </c>
      <c r="H15" s="2"/>
    </row>
    <row r="16" spans="1:8" ht="26.25" x14ac:dyDescent="0.25">
      <c r="A16" s="2"/>
      <c r="B16" s="101" t="s">
        <v>152</v>
      </c>
      <c r="C16" s="30">
        <v>2016</v>
      </c>
      <c r="D16" s="30">
        <v>20</v>
      </c>
      <c r="E16" s="12">
        <v>954950.75</v>
      </c>
      <c r="F16" s="12">
        <f t="shared" si="0"/>
        <v>47747.537499999999</v>
      </c>
      <c r="G16" s="23" t="s">
        <v>4</v>
      </c>
      <c r="H16" s="2"/>
    </row>
    <row r="17" spans="1:8" ht="26.25" x14ac:dyDescent="0.25">
      <c r="A17" s="2"/>
      <c r="B17" s="101" t="s">
        <v>153</v>
      </c>
      <c r="C17" s="30">
        <v>2016</v>
      </c>
      <c r="D17" s="30">
        <v>50</v>
      </c>
      <c r="E17" s="12">
        <v>1095337.75</v>
      </c>
      <c r="F17" s="12">
        <f t="shared" si="0"/>
        <v>21906.755000000001</v>
      </c>
      <c r="G17" s="23" t="s">
        <v>4</v>
      </c>
      <c r="H17" s="2"/>
    </row>
    <row r="18" spans="1:8" x14ac:dyDescent="0.25">
      <c r="A18" s="2"/>
      <c r="B18" s="101" t="s">
        <v>154</v>
      </c>
      <c r="C18" s="30">
        <v>2016</v>
      </c>
      <c r="D18" s="30">
        <v>10</v>
      </c>
      <c r="E18" s="12">
        <v>43014.85</v>
      </c>
      <c r="F18" s="12">
        <f t="shared" si="0"/>
        <v>4301.4849999999997</v>
      </c>
      <c r="G18" s="23" t="s">
        <v>4</v>
      </c>
      <c r="H18" s="2"/>
    </row>
    <row r="19" spans="1:8" ht="26.25" x14ac:dyDescent="0.25">
      <c r="A19" s="2"/>
      <c r="B19" s="101" t="s">
        <v>155</v>
      </c>
      <c r="C19" s="30">
        <v>2016</v>
      </c>
      <c r="D19" s="30">
        <v>20</v>
      </c>
      <c r="E19" s="12">
        <v>179838.58</v>
      </c>
      <c r="F19" s="12">
        <f t="shared" si="0"/>
        <v>8991.9290000000001</v>
      </c>
      <c r="G19" s="23" t="s">
        <v>4</v>
      </c>
      <c r="H19" s="2"/>
    </row>
    <row r="20" spans="1:8" ht="26.25" x14ac:dyDescent="0.25">
      <c r="A20" s="2"/>
      <c r="B20" s="101" t="s">
        <v>156</v>
      </c>
      <c r="C20" s="30">
        <v>2016</v>
      </c>
      <c r="D20" s="30">
        <v>20</v>
      </c>
      <c r="E20" s="12">
        <v>32287</v>
      </c>
      <c r="F20" s="12">
        <f t="shared" si="0"/>
        <v>1614.35</v>
      </c>
      <c r="G20" s="23" t="s">
        <v>4</v>
      </c>
      <c r="H20" s="2"/>
    </row>
    <row r="21" spans="1:8" ht="26.25" x14ac:dyDescent="0.25">
      <c r="A21" s="2"/>
      <c r="B21" s="101" t="s">
        <v>157</v>
      </c>
      <c r="C21" s="30">
        <v>2016</v>
      </c>
      <c r="D21" s="30">
        <v>20</v>
      </c>
      <c r="E21" s="12">
        <v>58875</v>
      </c>
      <c r="F21" s="12">
        <f t="shared" si="0"/>
        <v>2943.75</v>
      </c>
      <c r="G21" s="23" t="s">
        <v>4</v>
      </c>
      <c r="H21" s="2"/>
    </row>
    <row r="22" spans="1:8" x14ac:dyDescent="0.25">
      <c r="A22" s="2"/>
      <c r="B22" s="101" t="s">
        <v>158</v>
      </c>
      <c r="C22" s="30">
        <v>2016</v>
      </c>
      <c r="D22" s="30">
        <v>50</v>
      </c>
      <c r="E22" s="12">
        <v>1003958.75</v>
      </c>
      <c r="F22" s="12">
        <f t="shared" si="0"/>
        <v>20079.174999999999</v>
      </c>
      <c r="G22" s="23" t="s">
        <v>4</v>
      </c>
      <c r="H22" s="2"/>
    </row>
    <row r="23" spans="1:8" ht="26.25" x14ac:dyDescent="0.25">
      <c r="A23" s="2"/>
      <c r="B23" s="101" t="s">
        <v>159</v>
      </c>
      <c r="C23" s="30">
        <v>2016</v>
      </c>
      <c r="D23" s="30">
        <v>10</v>
      </c>
      <c r="E23" s="12">
        <v>1054499.26</v>
      </c>
      <c r="F23" s="12">
        <f t="shared" si="0"/>
        <v>105449.92600000001</v>
      </c>
      <c r="G23" s="23" t="s">
        <v>4</v>
      </c>
      <c r="H23" s="2"/>
    </row>
    <row r="24" spans="1:8" x14ac:dyDescent="0.25">
      <c r="A24" s="2"/>
      <c r="B24" s="101" t="s">
        <v>160</v>
      </c>
      <c r="C24" s="30">
        <v>2016</v>
      </c>
      <c r="D24" s="30">
        <v>60</v>
      </c>
      <c r="E24" s="12">
        <v>18063694.239999998</v>
      </c>
      <c r="F24" s="12">
        <f t="shared" si="0"/>
        <v>301061.57066666667</v>
      </c>
      <c r="G24" s="23" t="s">
        <v>4</v>
      </c>
      <c r="H24" s="2"/>
    </row>
    <row r="25" spans="1:8" x14ac:dyDescent="0.25">
      <c r="A25" s="2"/>
      <c r="B25" s="101" t="s">
        <v>161</v>
      </c>
      <c r="C25" s="30">
        <v>2016</v>
      </c>
      <c r="D25" s="30">
        <v>20</v>
      </c>
      <c r="E25" s="12">
        <v>12737811.960000001</v>
      </c>
      <c r="F25" s="12">
        <f t="shared" si="0"/>
        <v>636890.598</v>
      </c>
      <c r="G25" s="23" t="s">
        <v>4</v>
      </c>
      <c r="H25" s="2"/>
    </row>
    <row r="26" spans="1:8" x14ac:dyDescent="0.25">
      <c r="A26" s="2"/>
      <c r="B26" s="101" t="s">
        <v>162</v>
      </c>
      <c r="C26" s="30">
        <v>2016</v>
      </c>
      <c r="D26" s="30">
        <v>10</v>
      </c>
      <c r="E26" s="12">
        <v>1333927.5</v>
      </c>
      <c r="F26" s="12">
        <f t="shared" si="0"/>
        <v>133392.75</v>
      </c>
      <c r="G26" s="23" t="s">
        <v>4</v>
      </c>
      <c r="H26" s="2"/>
    </row>
    <row r="27" spans="1:8" x14ac:dyDescent="0.25">
      <c r="A27" s="2"/>
      <c r="B27" s="101" t="s">
        <v>163</v>
      </c>
      <c r="C27" s="30">
        <v>2016</v>
      </c>
      <c r="D27" s="30">
        <v>60</v>
      </c>
      <c r="E27" s="12">
        <v>8092496.4900000002</v>
      </c>
      <c r="F27" s="12">
        <f t="shared" si="0"/>
        <v>134874.94150000002</v>
      </c>
      <c r="G27" s="23" t="s">
        <v>4</v>
      </c>
      <c r="H27" s="2"/>
    </row>
    <row r="28" spans="1:8" x14ac:dyDescent="0.25">
      <c r="A28" s="2"/>
      <c r="B28" s="101" t="s">
        <v>164</v>
      </c>
      <c r="C28" s="30">
        <v>2016</v>
      </c>
      <c r="D28" s="30">
        <v>20</v>
      </c>
      <c r="E28" s="12">
        <v>7220710.0499999998</v>
      </c>
      <c r="F28" s="12">
        <f t="shared" si="0"/>
        <v>361035.5025</v>
      </c>
      <c r="G28" s="23" t="s">
        <v>4</v>
      </c>
      <c r="H28" s="2"/>
    </row>
    <row r="29" spans="1:8" x14ac:dyDescent="0.25">
      <c r="A29" s="2"/>
      <c r="B29" s="101" t="s">
        <v>165</v>
      </c>
      <c r="C29" s="30">
        <v>2016</v>
      </c>
      <c r="D29" s="30">
        <v>10</v>
      </c>
      <c r="E29" s="12">
        <v>741281.64</v>
      </c>
      <c r="F29" s="12">
        <f t="shared" si="0"/>
        <v>74128.164000000004</v>
      </c>
      <c r="G29" s="23" t="s">
        <v>4</v>
      </c>
      <c r="H29" s="2"/>
    </row>
    <row r="30" spans="1:8" x14ac:dyDescent="0.25">
      <c r="A30" s="2"/>
      <c r="B30" s="101" t="s">
        <v>166</v>
      </c>
      <c r="C30" s="30">
        <v>2016</v>
      </c>
      <c r="D30" s="30">
        <v>60</v>
      </c>
      <c r="E30" s="12">
        <v>366235.57</v>
      </c>
      <c r="F30" s="12">
        <f t="shared" si="0"/>
        <v>6103.9261666666671</v>
      </c>
      <c r="G30" s="23" t="s">
        <v>4</v>
      </c>
      <c r="H30" s="2"/>
    </row>
    <row r="31" spans="1:8" x14ac:dyDescent="0.25">
      <c r="A31" s="2"/>
      <c r="B31" s="101" t="s">
        <v>167</v>
      </c>
      <c r="C31" s="30">
        <v>2016</v>
      </c>
      <c r="D31" s="30">
        <v>20</v>
      </c>
      <c r="E31" s="12">
        <v>5344829.9800000004</v>
      </c>
      <c r="F31" s="12">
        <f t="shared" si="0"/>
        <v>267241.49900000001</v>
      </c>
      <c r="G31" s="23" t="s">
        <v>4</v>
      </c>
      <c r="H31" s="2"/>
    </row>
    <row r="32" spans="1:8" x14ac:dyDescent="0.25">
      <c r="A32" s="2"/>
      <c r="B32" s="101" t="s">
        <v>168</v>
      </c>
      <c r="C32" s="30">
        <v>2016</v>
      </c>
      <c r="D32" s="30">
        <v>10</v>
      </c>
      <c r="E32" s="12">
        <v>342167.31</v>
      </c>
      <c r="F32" s="12">
        <f t="shared" si="0"/>
        <v>34216.731</v>
      </c>
      <c r="G32" s="23" t="s">
        <v>4</v>
      </c>
      <c r="H32" s="2"/>
    </row>
    <row r="33" spans="1:8" ht="26.25" x14ac:dyDescent="0.25">
      <c r="A33" s="2"/>
      <c r="B33" s="101" t="s">
        <v>169</v>
      </c>
      <c r="C33" s="30">
        <v>2016</v>
      </c>
      <c r="D33" s="30">
        <v>20</v>
      </c>
      <c r="E33" s="12">
        <v>2966487.15</v>
      </c>
      <c r="F33" s="12">
        <f t="shared" si="0"/>
        <v>148324.35749999998</v>
      </c>
      <c r="G33" s="23" t="s">
        <v>4</v>
      </c>
      <c r="H33" s="2"/>
    </row>
    <row r="34" spans="1:8" x14ac:dyDescent="0.25">
      <c r="A34" s="2"/>
      <c r="B34" s="101" t="s">
        <v>170</v>
      </c>
      <c r="C34" s="30">
        <v>2016</v>
      </c>
      <c r="D34" s="30">
        <v>75</v>
      </c>
      <c r="E34" s="12">
        <v>47910268.210000001</v>
      </c>
      <c r="F34" s="12">
        <f t="shared" si="0"/>
        <v>638803.57613333338</v>
      </c>
      <c r="G34" s="23" t="s">
        <v>4</v>
      </c>
      <c r="H34" s="2"/>
    </row>
    <row r="35" spans="1:8" x14ac:dyDescent="0.25">
      <c r="A35" s="2"/>
      <c r="B35" s="101" t="s">
        <v>171</v>
      </c>
      <c r="C35" s="30">
        <v>2016</v>
      </c>
      <c r="D35" s="30">
        <v>75</v>
      </c>
      <c r="E35" s="12">
        <v>32611159.399999999</v>
      </c>
      <c r="F35" s="12">
        <f t="shared" si="0"/>
        <v>434815.45866666664</v>
      </c>
      <c r="G35" s="23" t="s">
        <v>4</v>
      </c>
      <c r="H35" s="2"/>
    </row>
    <row r="36" spans="1:8" x14ac:dyDescent="0.25">
      <c r="A36" s="2"/>
      <c r="B36" s="101" t="s">
        <v>172</v>
      </c>
      <c r="C36" s="30">
        <v>2016</v>
      </c>
      <c r="D36" s="30">
        <v>75</v>
      </c>
      <c r="E36" s="12">
        <v>2174259.58</v>
      </c>
      <c r="F36" s="12">
        <f t="shared" si="0"/>
        <v>28990.127733333335</v>
      </c>
      <c r="G36" s="23" t="s">
        <v>4</v>
      </c>
      <c r="H36" s="2"/>
    </row>
    <row r="37" spans="1:8" x14ac:dyDescent="0.25">
      <c r="A37" s="2"/>
      <c r="B37" s="101" t="s">
        <v>173</v>
      </c>
      <c r="C37" s="30">
        <v>2016</v>
      </c>
      <c r="D37" s="30">
        <v>75</v>
      </c>
      <c r="E37" s="12">
        <v>4603983.8099999996</v>
      </c>
      <c r="F37" s="12">
        <f t="shared" si="0"/>
        <v>61386.450799999991</v>
      </c>
      <c r="G37" s="23" t="s">
        <v>4</v>
      </c>
      <c r="H37" s="2"/>
    </row>
    <row r="38" spans="1:8" x14ac:dyDescent="0.25">
      <c r="A38" s="2"/>
      <c r="B38" s="101" t="s">
        <v>174</v>
      </c>
      <c r="C38" s="30">
        <v>2016</v>
      </c>
      <c r="D38" s="30">
        <v>75</v>
      </c>
      <c r="E38" s="12">
        <v>5212860.99</v>
      </c>
      <c r="F38" s="12">
        <f t="shared" si="0"/>
        <v>69504.813200000004</v>
      </c>
      <c r="G38" s="23" t="s">
        <v>4</v>
      </c>
      <c r="H38" s="2"/>
    </row>
    <row r="39" spans="1:8" x14ac:dyDescent="0.25">
      <c r="A39" s="2"/>
      <c r="B39" s="101" t="s">
        <v>175</v>
      </c>
      <c r="C39" s="30">
        <v>2016</v>
      </c>
      <c r="D39" s="30">
        <v>75</v>
      </c>
      <c r="E39" s="12">
        <v>2651356.96</v>
      </c>
      <c r="F39" s="12">
        <f t="shared" si="0"/>
        <v>35351.426133333334</v>
      </c>
      <c r="G39" s="23" t="s">
        <v>4</v>
      </c>
      <c r="H39" s="2"/>
    </row>
    <row r="40" spans="1:8" ht="26.25" x14ac:dyDescent="0.25">
      <c r="A40" s="2"/>
      <c r="B40" s="101" t="s">
        <v>176</v>
      </c>
      <c r="C40" s="30">
        <v>2016</v>
      </c>
      <c r="D40" s="30">
        <v>75</v>
      </c>
      <c r="E40" s="12">
        <v>3272078.56</v>
      </c>
      <c r="F40" s="12">
        <f t="shared" si="0"/>
        <v>43627.714133333335</v>
      </c>
      <c r="G40" s="23" t="s">
        <v>4</v>
      </c>
      <c r="H40" s="2"/>
    </row>
    <row r="41" spans="1:8" x14ac:dyDescent="0.25">
      <c r="A41" s="2"/>
      <c r="B41" s="101" t="s">
        <v>177</v>
      </c>
      <c r="C41" s="30">
        <v>2016</v>
      </c>
      <c r="D41" s="30">
        <v>50</v>
      </c>
      <c r="E41" s="12">
        <v>1873661.68</v>
      </c>
      <c r="F41" s="12">
        <f t="shared" si="0"/>
        <v>37473.2336</v>
      </c>
      <c r="G41" s="23" t="s">
        <v>4</v>
      </c>
      <c r="H41" s="2"/>
    </row>
    <row r="42" spans="1:8" ht="26.25" x14ac:dyDescent="0.25">
      <c r="A42" s="2"/>
      <c r="B42" s="101" t="s">
        <v>178</v>
      </c>
      <c r="C42" s="30">
        <v>2016</v>
      </c>
      <c r="D42" s="30">
        <v>50</v>
      </c>
      <c r="E42" s="12">
        <v>1630250.23</v>
      </c>
      <c r="F42" s="12">
        <f t="shared" si="0"/>
        <v>32605.0046</v>
      </c>
      <c r="G42" s="23" t="s">
        <v>4</v>
      </c>
      <c r="H42" s="2"/>
    </row>
    <row r="43" spans="1:8" ht="26.25" x14ac:dyDescent="0.25">
      <c r="A43" s="2"/>
      <c r="B43" s="101" t="s">
        <v>179</v>
      </c>
      <c r="C43" s="30">
        <v>2016</v>
      </c>
      <c r="D43" s="30">
        <v>50</v>
      </c>
      <c r="E43" s="12">
        <v>19026042.48</v>
      </c>
      <c r="F43" s="12">
        <f t="shared" si="0"/>
        <v>380520.84960000002</v>
      </c>
      <c r="G43" s="23" t="s">
        <v>4</v>
      </c>
      <c r="H43" s="2"/>
    </row>
    <row r="44" spans="1:8" ht="26.25" x14ac:dyDescent="0.25">
      <c r="A44" s="2"/>
      <c r="B44" s="101" t="s">
        <v>180</v>
      </c>
      <c r="C44" s="30">
        <v>2016</v>
      </c>
      <c r="D44" s="30">
        <v>50</v>
      </c>
      <c r="E44" s="12">
        <v>15900.3</v>
      </c>
      <c r="F44" s="12">
        <f t="shared" si="0"/>
        <v>318.00599999999997</v>
      </c>
      <c r="G44" s="23" t="s">
        <v>4</v>
      </c>
      <c r="H44" s="2"/>
    </row>
    <row r="45" spans="1:8" ht="26.25" x14ac:dyDescent="0.25">
      <c r="A45" s="2"/>
      <c r="B45" s="101" t="s">
        <v>181</v>
      </c>
      <c r="C45" s="30">
        <v>2016</v>
      </c>
      <c r="D45" s="30">
        <v>50</v>
      </c>
      <c r="E45" s="12">
        <v>6997794.5099999998</v>
      </c>
      <c r="F45" s="12">
        <f t="shared" si="0"/>
        <v>139955.89019999999</v>
      </c>
      <c r="G45" s="23" t="s">
        <v>4</v>
      </c>
      <c r="H45" s="2"/>
    </row>
    <row r="46" spans="1:8" x14ac:dyDescent="0.25">
      <c r="A46" s="2"/>
      <c r="B46" s="101" t="s">
        <v>182</v>
      </c>
      <c r="C46" s="30">
        <v>2016</v>
      </c>
      <c r="D46" s="30">
        <v>75</v>
      </c>
      <c r="E46" s="12">
        <v>19325795.34</v>
      </c>
      <c r="F46" s="12">
        <f t="shared" si="0"/>
        <v>257677.27119999999</v>
      </c>
      <c r="G46" s="23" t="s">
        <v>4</v>
      </c>
      <c r="H46" s="2"/>
    </row>
    <row r="47" spans="1:8" x14ac:dyDescent="0.25">
      <c r="A47" s="2"/>
      <c r="B47" s="101" t="s">
        <v>183</v>
      </c>
      <c r="C47" s="30">
        <v>2016</v>
      </c>
      <c r="D47" s="30">
        <v>75</v>
      </c>
      <c r="E47" s="12">
        <v>15391054.890000001</v>
      </c>
      <c r="F47" s="12">
        <f t="shared" si="0"/>
        <v>205214.06520000001</v>
      </c>
      <c r="G47" s="23" t="s">
        <v>4</v>
      </c>
      <c r="H47" s="2"/>
    </row>
    <row r="48" spans="1:8" x14ac:dyDescent="0.25">
      <c r="A48" s="2"/>
      <c r="B48" s="83" t="s">
        <v>76</v>
      </c>
      <c r="C48" s="84"/>
      <c r="D48" s="84"/>
      <c r="E48" s="85"/>
      <c r="F48" s="21">
        <f>SUM(F10:F47)</f>
        <v>5255507.3473333344</v>
      </c>
      <c r="G48" s="22" t="s">
        <v>4</v>
      </c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2"/>
      <c r="B50" s="2"/>
      <c r="C50" s="2"/>
      <c r="D50" s="2"/>
      <c r="E50" s="2"/>
      <c r="F50" s="2"/>
      <c r="G50" s="2"/>
      <c r="H50" s="2"/>
    </row>
    <row r="51" spans="1:8" x14ac:dyDescent="0.25">
      <c r="A51" s="2"/>
      <c r="B51" s="2"/>
      <c r="C51" s="2"/>
      <c r="D51" s="2"/>
      <c r="E51" s="2"/>
      <c r="F51" s="2"/>
      <c r="G51" s="2"/>
      <c r="H51" s="2"/>
    </row>
    <row r="52" spans="1:8" x14ac:dyDescent="0.25">
      <c r="A52" s="2"/>
      <c r="B52" s="2"/>
      <c r="C52" s="2"/>
      <c r="D52" s="2"/>
      <c r="E52" s="2"/>
      <c r="F52" s="2"/>
      <c r="G52" s="2"/>
      <c r="H52" s="2"/>
    </row>
  </sheetData>
  <sheetProtection password="DFE9" sheet="1" objects="1" scenarios="1"/>
  <mergeCells count="4">
    <mergeCell ref="B48:E48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1" t="s">
        <v>77</v>
      </c>
      <c r="C3" s="91"/>
      <c r="D3" s="91"/>
      <c r="E3" s="91"/>
      <c r="F3" s="91"/>
      <c r="G3" s="91"/>
      <c r="H3" s="91"/>
      <c r="I3" s="2"/>
    </row>
    <row r="4" spans="1:9" ht="15" customHeight="1" x14ac:dyDescent="0.25">
      <c r="A4" s="2"/>
      <c r="B4" s="91"/>
      <c r="C4" s="91"/>
      <c r="D4" s="91"/>
      <c r="E4" s="91"/>
      <c r="F4" s="91"/>
      <c r="G4" s="91"/>
      <c r="H4" s="9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199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3" t="s">
        <v>78</v>
      </c>
      <c r="C9" s="74"/>
      <c r="D9" s="74"/>
      <c r="E9" s="74"/>
      <c r="F9" s="75"/>
      <c r="G9" s="12">
        <v>19271893</v>
      </c>
      <c r="H9" s="23" t="s">
        <v>4</v>
      </c>
      <c r="I9" s="2"/>
    </row>
    <row r="10" spans="1:9" x14ac:dyDescent="0.25">
      <c r="A10" s="2"/>
      <c r="B10" s="73" t="s">
        <v>79</v>
      </c>
      <c r="C10" s="74"/>
      <c r="D10" s="74"/>
      <c r="E10" s="74"/>
      <c r="F10" s="75"/>
      <c r="G10" s="12">
        <v>13918121</v>
      </c>
      <c r="H10" s="23" t="s">
        <v>4</v>
      </c>
      <c r="I10" s="2"/>
    </row>
    <row r="11" spans="1:9" x14ac:dyDescent="0.25">
      <c r="A11" s="2"/>
      <c r="B11" s="83" t="s">
        <v>200</v>
      </c>
      <c r="C11" s="84"/>
      <c r="D11" s="84"/>
      <c r="E11" s="84"/>
      <c r="F11" s="85"/>
      <c r="G11" s="21">
        <f>G9-G10</f>
        <v>5353772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88" t="s">
        <v>201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3" t="s">
        <v>80</v>
      </c>
      <c r="C15" s="74"/>
      <c r="D15" s="74"/>
      <c r="E15" s="74"/>
      <c r="F15" s="75"/>
      <c r="G15" s="12">
        <v>127658</v>
      </c>
      <c r="H15" s="23" t="s">
        <v>4</v>
      </c>
      <c r="I15" s="2"/>
    </row>
    <row r="16" spans="1:9" x14ac:dyDescent="0.25">
      <c r="A16" s="2"/>
      <c r="B16" s="73" t="s">
        <v>81</v>
      </c>
      <c r="C16" s="74"/>
      <c r="D16" s="74"/>
      <c r="E16" s="74"/>
      <c r="F16" s="75"/>
      <c r="G16" s="12">
        <v>-275000</v>
      </c>
      <c r="H16" s="23" t="s">
        <v>4</v>
      </c>
      <c r="I16" s="2"/>
    </row>
    <row r="17" spans="1:9" x14ac:dyDescent="0.25">
      <c r="A17" s="2"/>
      <c r="B17" s="83" t="s">
        <v>201</v>
      </c>
      <c r="C17" s="84"/>
      <c r="D17" s="84"/>
      <c r="E17" s="84"/>
      <c r="F17" s="85"/>
      <c r="G17" s="21">
        <f>G15-G16</f>
        <v>402658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88" t="s">
        <v>202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3" t="s">
        <v>82</v>
      </c>
      <c r="C21" s="74"/>
      <c r="D21" s="74"/>
      <c r="E21" s="74"/>
      <c r="F21" s="75"/>
      <c r="G21" s="12">
        <v>784871</v>
      </c>
      <c r="H21" s="23" t="s">
        <v>4</v>
      </c>
      <c r="I21" s="2"/>
    </row>
    <row r="22" spans="1:9" x14ac:dyDescent="0.25">
      <c r="A22" s="2"/>
      <c r="B22" s="73" t="s">
        <v>83</v>
      </c>
      <c r="C22" s="74"/>
      <c r="D22" s="74"/>
      <c r="E22" s="74"/>
      <c r="F22" s="75"/>
      <c r="G22" s="12">
        <v>870000</v>
      </c>
      <c r="H22" s="23" t="s">
        <v>4</v>
      </c>
      <c r="I22" s="2"/>
    </row>
    <row r="23" spans="1:9" x14ac:dyDescent="0.25">
      <c r="A23" s="2"/>
      <c r="B23" s="83" t="s">
        <v>202</v>
      </c>
      <c r="C23" s="84"/>
      <c r="D23" s="84"/>
      <c r="E23" s="84"/>
      <c r="F23" s="85"/>
      <c r="G23" s="21">
        <f>G21-G22</f>
        <v>-85129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88" t="s">
        <v>203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70" t="s">
        <v>84</v>
      </c>
      <c r="C27" s="71"/>
      <c r="D27" s="71"/>
      <c r="E27" s="71"/>
      <c r="F27" s="72"/>
      <c r="G27" s="12">
        <v>0</v>
      </c>
      <c r="H27" s="23" t="s">
        <v>4</v>
      </c>
      <c r="I27" s="2"/>
    </row>
    <row r="28" spans="1:9" x14ac:dyDescent="0.25">
      <c r="A28" s="2"/>
      <c r="B28" s="73" t="s">
        <v>85</v>
      </c>
      <c r="C28" s="74"/>
      <c r="D28" s="74"/>
      <c r="E28" s="74"/>
      <c r="F28" s="75"/>
      <c r="G28" s="12">
        <v>0</v>
      </c>
      <c r="H28" s="23" t="s">
        <v>4</v>
      </c>
      <c r="I28" s="2"/>
    </row>
    <row r="29" spans="1:9" ht="15" customHeight="1" x14ac:dyDescent="0.25">
      <c r="A29" s="2"/>
      <c r="B29" s="88" t="s">
        <v>203</v>
      </c>
      <c r="C29" s="89"/>
      <c r="D29" s="89"/>
      <c r="E29" s="89"/>
      <c r="F29" s="90"/>
      <c r="G29" s="21">
        <f>G27-G28</f>
        <v>0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88" t="s">
        <v>86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73" t="s">
        <v>87</v>
      </c>
      <c r="C33" s="74"/>
      <c r="D33" s="74"/>
      <c r="E33" s="74"/>
      <c r="F33" s="75"/>
      <c r="G33" s="12">
        <f>'Fane 8. Gen. inv. i 2016'!F48</f>
        <v>5255507.3473333344</v>
      </c>
      <c r="H33" s="23" t="s">
        <v>4</v>
      </c>
      <c r="I33" s="2"/>
    </row>
    <row r="34" spans="1:9" x14ac:dyDescent="0.25">
      <c r="A34" s="2"/>
      <c r="B34" s="73" t="s">
        <v>88</v>
      </c>
      <c r="C34" s="74"/>
      <c r="D34" s="74"/>
      <c r="E34" s="74"/>
      <c r="F34" s="75"/>
      <c r="G34" s="12">
        <v>4289007.7166666668</v>
      </c>
      <c r="H34" s="23" t="s">
        <v>4</v>
      </c>
      <c r="I34" s="2"/>
    </row>
    <row r="35" spans="1:9" x14ac:dyDescent="0.25">
      <c r="A35" s="2"/>
      <c r="B35" s="83" t="s">
        <v>86</v>
      </c>
      <c r="C35" s="84"/>
      <c r="D35" s="84"/>
      <c r="E35" s="84"/>
      <c r="F35" s="85"/>
      <c r="G35" s="21">
        <f>G33-G34</f>
        <v>966499.6306666676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21:F21"/>
    <mergeCell ref="B22:F22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1" t="s">
        <v>89</v>
      </c>
      <c r="C3" s="91"/>
      <c r="D3" s="91"/>
      <c r="E3" s="91"/>
      <c r="F3" s="91"/>
      <c r="G3" s="91"/>
      <c r="H3" s="91"/>
      <c r="I3" s="2"/>
    </row>
    <row r="4" spans="1:9" ht="15" customHeight="1" x14ac:dyDescent="0.25">
      <c r="A4" s="2"/>
      <c r="B4" s="91"/>
      <c r="C4" s="91"/>
      <c r="D4" s="91"/>
      <c r="E4" s="91"/>
      <c r="F4" s="91"/>
      <c r="G4" s="91"/>
      <c r="H4" s="9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90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80" t="s">
        <v>91</v>
      </c>
      <c r="C9" s="81"/>
      <c r="D9" s="81"/>
      <c r="E9" s="81"/>
      <c r="F9" s="82"/>
      <c r="G9" s="18">
        <v>252313521.60494864</v>
      </c>
      <c r="H9" s="28" t="s">
        <v>4</v>
      </c>
      <c r="I9" s="2"/>
    </row>
    <row r="10" spans="1:9" x14ac:dyDescent="0.25">
      <c r="A10" s="2"/>
      <c r="B10" s="83" t="s">
        <v>92</v>
      </c>
      <c r="C10" s="84"/>
      <c r="D10" s="84"/>
      <c r="E10" s="84"/>
      <c r="F10" s="84"/>
      <c r="G10" s="84"/>
      <c r="H10" s="85"/>
      <c r="I10" s="2"/>
    </row>
    <row r="11" spans="1:9" x14ac:dyDescent="0.25">
      <c r="A11" s="2"/>
      <c r="B11" s="73" t="s">
        <v>19</v>
      </c>
      <c r="C11" s="74"/>
      <c r="D11" s="75"/>
      <c r="E11" s="12">
        <v>127641792</v>
      </c>
      <c r="F11" s="23" t="s">
        <v>4</v>
      </c>
      <c r="G11" s="20"/>
      <c r="H11" s="31"/>
      <c r="I11" s="2"/>
    </row>
    <row r="12" spans="1:9" x14ac:dyDescent="0.25">
      <c r="A12" s="2"/>
      <c r="B12" s="73" t="s">
        <v>93</v>
      </c>
      <c r="C12" s="74"/>
      <c r="D12" s="75"/>
      <c r="E12" s="12">
        <v>16585660</v>
      </c>
      <c r="F12" s="23" t="s">
        <v>4</v>
      </c>
      <c r="G12" s="15"/>
      <c r="H12" s="32"/>
      <c r="I12" s="2"/>
    </row>
    <row r="13" spans="1:9" x14ac:dyDescent="0.25">
      <c r="A13" s="2"/>
      <c r="B13" s="73" t="s">
        <v>94</v>
      </c>
      <c r="C13" s="74"/>
      <c r="D13" s="75"/>
      <c r="E13" s="12">
        <v>362000</v>
      </c>
      <c r="F13" s="23" t="s">
        <v>4</v>
      </c>
      <c r="G13" s="15"/>
      <c r="H13" s="32"/>
      <c r="I13" s="2"/>
    </row>
    <row r="14" spans="1:9" x14ac:dyDescent="0.25">
      <c r="A14" s="2"/>
      <c r="B14" s="73" t="s">
        <v>95</v>
      </c>
      <c r="C14" s="74"/>
      <c r="D14" s="75"/>
      <c r="E14" s="12">
        <v>8344294.9199999999</v>
      </c>
      <c r="F14" s="23" t="s">
        <v>4</v>
      </c>
      <c r="G14" s="15"/>
      <c r="H14" s="32"/>
      <c r="I14" s="2"/>
    </row>
    <row r="15" spans="1:9" x14ac:dyDescent="0.25">
      <c r="A15" s="2"/>
      <c r="B15" s="80" t="s">
        <v>20</v>
      </c>
      <c r="C15" s="81"/>
      <c r="D15" s="82"/>
      <c r="E15" s="18">
        <f>SUM(E11:E14)</f>
        <v>152933746.91999999</v>
      </c>
      <c r="F15" s="28" t="s">
        <v>4</v>
      </c>
      <c r="G15" s="15"/>
      <c r="H15" s="32"/>
      <c r="I15" s="2"/>
    </row>
    <row r="16" spans="1:9" x14ac:dyDescent="0.25">
      <c r="A16" s="2"/>
      <c r="B16" s="73" t="s">
        <v>21</v>
      </c>
      <c r="C16" s="74"/>
      <c r="D16" s="75"/>
      <c r="E16" s="12">
        <v>39958617</v>
      </c>
      <c r="F16" s="23" t="s">
        <v>4</v>
      </c>
      <c r="G16" s="15"/>
      <c r="H16" s="32"/>
      <c r="I16" s="2"/>
    </row>
    <row r="17" spans="1:9" x14ac:dyDescent="0.25">
      <c r="A17" s="2"/>
      <c r="B17" s="73" t="s">
        <v>22</v>
      </c>
      <c r="C17" s="74"/>
      <c r="D17" s="75"/>
      <c r="E17" s="12">
        <v>50000</v>
      </c>
      <c r="F17" s="23" t="s">
        <v>4</v>
      </c>
      <c r="G17" s="15"/>
      <c r="H17" s="32"/>
      <c r="I17" s="2"/>
    </row>
    <row r="18" spans="1:9" x14ac:dyDescent="0.25">
      <c r="A18" s="2"/>
      <c r="B18" s="73" t="s">
        <v>23</v>
      </c>
      <c r="C18" s="74"/>
      <c r="D18" s="75"/>
      <c r="E18" s="12">
        <v>0</v>
      </c>
      <c r="F18" s="23" t="s">
        <v>4</v>
      </c>
      <c r="G18" s="15"/>
      <c r="H18" s="32"/>
      <c r="I18" s="2"/>
    </row>
    <row r="19" spans="1:9" x14ac:dyDescent="0.25">
      <c r="A19" s="2"/>
      <c r="B19" s="80" t="s">
        <v>24</v>
      </c>
      <c r="C19" s="81"/>
      <c r="D19" s="82"/>
      <c r="E19" s="18">
        <f>SUM(E16:E18)</f>
        <v>40008617</v>
      </c>
      <c r="F19" s="28" t="s">
        <v>4</v>
      </c>
      <c r="G19" s="15"/>
      <c r="H19" s="32"/>
      <c r="I19" s="2"/>
    </row>
    <row r="20" spans="1:9" ht="29.25" customHeight="1" x14ac:dyDescent="0.25">
      <c r="A20" s="2"/>
      <c r="B20" s="70" t="s">
        <v>25</v>
      </c>
      <c r="C20" s="71"/>
      <c r="D20" s="72"/>
      <c r="E20" s="12">
        <v>-154298</v>
      </c>
      <c r="F20" s="23" t="s">
        <v>4</v>
      </c>
      <c r="G20" s="15"/>
      <c r="H20" s="32"/>
      <c r="I20" s="2"/>
    </row>
    <row r="21" spans="1:9" ht="30.75" customHeight="1" x14ac:dyDescent="0.25">
      <c r="A21" s="2"/>
      <c r="B21" s="70" t="s">
        <v>26</v>
      </c>
      <c r="C21" s="71"/>
      <c r="D21" s="72"/>
      <c r="E21" s="12">
        <v>-128702075</v>
      </c>
      <c r="F21" s="23" t="s">
        <v>4</v>
      </c>
      <c r="G21" s="15"/>
      <c r="H21" s="32"/>
      <c r="I21" s="2"/>
    </row>
    <row r="22" spans="1:9" x14ac:dyDescent="0.25">
      <c r="A22" s="2"/>
      <c r="B22" s="73" t="s">
        <v>27</v>
      </c>
      <c r="C22" s="74"/>
      <c r="D22" s="75"/>
      <c r="E22" s="12">
        <v>-81344462</v>
      </c>
      <c r="F22" s="23" t="s">
        <v>4</v>
      </c>
      <c r="G22" s="15"/>
      <c r="H22" s="32"/>
      <c r="I22" s="2"/>
    </row>
    <row r="23" spans="1:9" x14ac:dyDescent="0.25">
      <c r="A23" s="2"/>
      <c r="B23" s="73" t="s">
        <v>28</v>
      </c>
      <c r="C23" s="74"/>
      <c r="D23" s="75"/>
      <c r="E23" s="12">
        <v>-55859</v>
      </c>
      <c r="F23" s="23" t="s">
        <v>4</v>
      </c>
      <c r="G23" s="15"/>
      <c r="H23" s="32"/>
      <c r="I23" s="2"/>
    </row>
    <row r="24" spans="1:9" ht="30" customHeight="1" x14ac:dyDescent="0.25">
      <c r="A24" s="2"/>
      <c r="B24" s="70" t="s">
        <v>29</v>
      </c>
      <c r="C24" s="71"/>
      <c r="D24" s="72"/>
      <c r="E24" s="12">
        <v>-789506</v>
      </c>
      <c r="F24" s="23" t="s">
        <v>4</v>
      </c>
      <c r="G24" s="15"/>
      <c r="H24" s="32"/>
      <c r="I24" s="2"/>
    </row>
    <row r="25" spans="1:9" ht="30" customHeight="1" x14ac:dyDescent="0.25">
      <c r="A25" s="2"/>
      <c r="B25" s="70" t="s">
        <v>30</v>
      </c>
      <c r="C25" s="71"/>
      <c r="D25" s="72"/>
      <c r="E25" s="12">
        <v>0</v>
      </c>
      <c r="F25" s="23" t="s">
        <v>4</v>
      </c>
      <c r="G25" s="15"/>
      <c r="H25" s="32"/>
      <c r="I25" s="2"/>
    </row>
    <row r="26" spans="1:9" ht="30" customHeight="1" x14ac:dyDescent="0.25">
      <c r="A26" s="2"/>
      <c r="B26" s="70" t="s">
        <v>31</v>
      </c>
      <c r="C26" s="71"/>
      <c r="D26" s="72"/>
      <c r="E26" s="12">
        <v>0</v>
      </c>
      <c r="F26" s="23" t="s">
        <v>4</v>
      </c>
      <c r="G26" s="15"/>
      <c r="H26" s="32"/>
      <c r="I26" s="2"/>
    </row>
    <row r="27" spans="1:9" x14ac:dyDescent="0.25">
      <c r="A27" s="2"/>
      <c r="B27" s="80" t="s">
        <v>32</v>
      </c>
      <c r="C27" s="81"/>
      <c r="D27" s="82"/>
      <c r="E27" s="18">
        <f>SUM(E20:E26)</f>
        <v>-211046200</v>
      </c>
      <c r="F27" s="28" t="s">
        <v>4</v>
      </c>
      <c r="G27" s="16"/>
      <c r="H27" s="33"/>
      <c r="I27" s="2"/>
    </row>
    <row r="28" spans="1:9" x14ac:dyDescent="0.25">
      <c r="A28" s="2"/>
      <c r="B28" s="80" t="s">
        <v>33</v>
      </c>
      <c r="C28" s="81"/>
      <c r="D28" s="82"/>
      <c r="E28" s="18">
        <f>E15+E19+E27</f>
        <v>-18103836.080000013</v>
      </c>
      <c r="F28" s="28" t="s">
        <v>4</v>
      </c>
      <c r="G28" s="1">
        <f>IF(E28&lt;0,0,-E28)</f>
        <v>0</v>
      </c>
      <c r="H28" s="28" t="s">
        <v>4</v>
      </c>
      <c r="I28" s="2"/>
    </row>
    <row r="29" spans="1:9" x14ac:dyDescent="0.25">
      <c r="A29" s="2"/>
      <c r="B29" s="83" t="s">
        <v>96</v>
      </c>
      <c r="C29" s="84"/>
      <c r="D29" s="84"/>
      <c r="E29" s="84"/>
      <c r="F29" s="84"/>
      <c r="G29" s="84"/>
      <c r="H29" s="85"/>
      <c r="I29" s="2"/>
    </row>
    <row r="30" spans="1:9" x14ac:dyDescent="0.25">
      <c r="A30" s="2"/>
      <c r="B30" s="80" t="s">
        <v>96</v>
      </c>
      <c r="C30" s="81"/>
      <c r="D30" s="82"/>
      <c r="E30" s="18">
        <v>0</v>
      </c>
      <c r="F30" s="28" t="s">
        <v>4</v>
      </c>
      <c r="G30" s="18">
        <f>-$E$30</f>
        <v>0</v>
      </c>
      <c r="H30" s="28" t="s">
        <v>4</v>
      </c>
      <c r="I30" s="2"/>
    </row>
    <row r="31" spans="1:9" x14ac:dyDescent="0.25">
      <c r="A31" s="2"/>
      <c r="B31" s="99" t="s">
        <v>57</v>
      </c>
      <c r="C31" s="84"/>
      <c r="D31" s="84"/>
      <c r="E31" s="84"/>
      <c r="F31" s="84"/>
      <c r="G31" s="84"/>
      <c r="H31" s="85"/>
      <c r="I31" s="2"/>
    </row>
    <row r="32" spans="1:9" ht="30" customHeight="1" x14ac:dyDescent="0.25">
      <c r="A32" s="2"/>
      <c r="B32" s="70" t="s">
        <v>58</v>
      </c>
      <c r="C32" s="71"/>
      <c r="D32" s="72"/>
      <c r="E32" s="12">
        <v>236826839</v>
      </c>
      <c r="F32" s="23" t="s">
        <v>4</v>
      </c>
      <c r="G32" s="20"/>
      <c r="H32" s="31"/>
      <c r="I32" s="2"/>
    </row>
    <row r="33" spans="1:9" x14ac:dyDescent="0.25">
      <c r="A33" s="2"/>
      <c r="B33" s="73" t="s">
        <v>34</v>
      </c>
      <c r="C33" s="74"/>
      <c r="D33" s="75"/>
      <c r="E33" s="12">
        <v>0</v>
      </c>
      <c r="F33" s="23" t="s">
        <v>4</v>
      </c>
      <c r="G33" s="15"/>
      <c r="H33" s="32"/>
      <c r="I33" s="2"/>
    </row>
    <row r="34" spans="1:9" ht="43.5" customHeight="1" x14ac:dyDescent="0.25">
      <c r="A34" s="2"/>
      <c r="B34" s="70" t="s">
        <v>35</v>
      </c>
      <c r="C34" s="71"/>
      <c r="D34" s="72"/>
      <c r="E34" s="12">
        <v>16062745</v>
      </c>
      <c r="F34" s="23" t="s">
        <v>4</v>
      </c>
      <c r="G34" s="16"/>
      <c r="H34" s="33"/>
      <c r="I34" s="2"/>
    </row>
    <row r="35" spans="1:9" x14ac:dyDescent="0.25">
      <c r="A35" s="2"/>
      <c r="B35" s="80" t="s">
        <v>36</v>
      </c>
      <c r="C35" s="81"/>
      <c r="D35" s="82"/>
      <c r="E35" s="18">
        <f>SUM(E32:E34)</f>
        <v>252889584</v>
      </c>
      <c r="F35" s="28" t="s">
        <v>4</v>
      </c>
      <c r="G35" s="18">
        <f>-E35</f>
        <v>-252889584</v>
      </c>
      <c r="H35" s="28" t="s">
        <v>4</v>
      </c>
      <c r="I35" s="2"/>
    </row>
    <row r="36" spans="1:9" x14ac:dyDescent="0.25">
      <c r="A36" s="2"/>
      <c r="B36" s="83" t="s">
        <v>97</v>
      </c>
      <c r="C36" s="84"/>
      <c r="D36" s="84"/>
      <c r="E36" s="84"/>
      <c r="F36" s="85"/>
      <c r="G36" s="21">
        <f>$G$9+$G$28+$G$30+$G$35</f>
        <v>-576062.39505136013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69" t="s">
        <v>126</v>
      </c>
      <c r="C3" s="69"/>
      <c r="D3" s="69"/>
      <c r="E3" s="69"/>
      <c r="F3" s="69"/>
      <c r="G3" s="69"/>
      <c r="H3" s="2"/>
    </row>
    <row r="4" spans="1:8" ht="15" customHeight="1" x14ac:dyDescent="0.25">
      <c r="A4" s="2"/>
      <c r="B4" s="69"/>
      <c r="C4" s="69"/>
      <c r="D4" s="69"/>
      <c r="E4" s="69"/>
      <c r="F4" s="69"/>
      <c r="G4" s="69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197</v>
      </c>
      <c r="C8" s="84"/>
      <c r="D8" s="84"/>
      <c r="E8" s="84"/>
      <c r="F8" s="84"/>
      <c r="G8" s="85"/>
      <c r="H8" s="2"/>
    </row>
    <row r="9" spans="1:8" ht="29.25" customHeight="1" x14ac:dyDescent="0.25">
      <c r="A9" s="2"/>
      <c r="B9" s="76" t="s">
        <v>116</v>
      </c>
      <c r="C9" s="78"/>
      <c r="D9" s="98" t="s">
        <v>47</v>
      </c>
      <c r="E9" s="98"/>
      <c r="F9" s="98" t="s">
        <v>127</v>
      </c>
      <c r="G9" s="98"/>
      <c r="H9" s="2"/>
    </row>
    <row r="10" spans="1:8" x14ac:dyDescent="0.25">
      <c r="A10" s="2"/>
      <c r="B10" s="102" t="s">
        <v>192</v>
      </c>
      <c r="C10" s="103"/>
      <c r="D10" s="104">
        <v>1059734</v>
      </c>
      <c r="E10" s="23" t="s">
        <v>4</v>
      </c>
      <c r="F10" s="12"/>
      <c r="G10" s="23" t="s">
        <v>4</v>
      </c>
      <c r="H10" s="2"/>
    </row>
    <row r="11" spans="1:8" x14ac:dyDescent="0.25">
      <c r="A11" s="2"/>
      <c r="B11" s="83" t="s">
        <v>133</v>
      </c>
      <c r="C11" s="84"/>
      <c r="D11" s="21">
        <f>SUM(D10:D10)</f>
        <v>1059734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83" t="s">
        <v>145</v>
      </c>
      <c r="C12" s="85"/>
      <c r="D12" s="21">
        <f>D11*(1+'Fane 2.1. Økonomisk ramme 2018'!E18/100)</f>
        <v>1078279.345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83" t="s">
        <v>193</v>
      </c>
      <c r="C15" s="84"/>
      <c r="D15" s="84"/>
      <c r="E15" s="84"/>
      <c r="F15" s="84"/>
      <c r="G15" s="85"/>
      <c r="H15" s="2"/>
    </row>
    <row r="16" spans="1:8" ht="15" customHeight="1" x14ac:dyDescent="0.25">
      <c r="A16" s="2"/>
      <c r="B16" s="76" t="s">
        <v>209</v>
      </c>
      <c r="C16" s="77"/>
      <c r="D16" s="77"/>
      <c r="E16" s="78"/>
      <c r="F16" s="98" t="s">
        <v>194</v>
      </c>
      <c r="G16" s="98"/>
      <c r="H16" s="2"/>
    </row>
    <row r="17" spans="1:8" x14ac:dyDescent="0.25">
      <c r="A17" s="2"/>
      <c r="B17" s="102" t="s">
        <v>205</v>
      </c>
      <c r="C17" s="105"/>
      <c r="D17" s="105"/>
      <c r="E17" s="103"/>
      <c r="F17" s="12">
        <v>0</v>
      </c>
      <c r="G17" s="23" t="s">
        <v>4</v>
      </c>
      <c r="H17" s="2"/>
    </row>
    <row r="18" spans="1:8" x14ac:dyDescent="0.25">
      <c r="A18" s="2"/>
      <c r="B18" s="83" t="s">
        <v>195</v>
      </c>
      <c r="C18" s="84"/>
      <c r="D18" s="84"/>
      <c r="E18" s="85"/>
      <c r="F18" s="21">
        <f>SUM(F17:F17)</f>
        <v>0</v>
      </c>
      <c r="G18" s="22" t="s">
        <v>4</v>
      </c>
      <c r="H18" s="2"/>
    </row>
    <row r="19" spans="1:8" x14ac:dyDescent="0.25">
      <c r="A19" s="2"/>
      <c r="B19" s="83" t="s">
        <v>196</v>
      </c>
      <c r="C19" s="84"/>
      <c r="D19" s="84"/>
      <c r="E19" s="85"/>
      <c r="F19" s="21">
        <f>F18*(1+'Fane 2.1. Økonomisk ramme 2018'!E18/100)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1" t="s">
        <v>118</v>
      </c>
      <c r="C3" s="91"/>
      <c r="D3" s="91"/>
      <c r="E3" s="91"/>
      <c r="F3" s="91"/>
      <c r="G3" s="91"/>
      <c r="H3" s="2"/>
    </row>
    <row r="4" spans="1:8" ht="25.5" customHeight="1" x14ac:dyDescent="0.25">
      <c r="A4" s="2"/>
      <c r="B4" s="91"/>
      <c r="C4" s="91"/>
      <c r="D4" s="91"/>
      <c r="E4" s="91"/>
      <c r="F4" s="91"/>
      <c r="G4" s="9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117</v>
      </c>
      <c r="C8" s="84"/>
      <c r="D8" s="84"/>
      <c r="E8" s="84"/>
      <c r="F8" s="84"/>
      <c r="G8" s="85"/>
      <c r="H8" s="2"/>
    </row>
    <row r="9" spans="1:8" ht="29.25" customHeight="1" x14ac:dyDescent="0.25">
      <c r="A9" s="2"/>
      <c r="B9" s="34" t="s">
        <v>119</v>
      </c>
      <c r="C9" s="35"/>
      <c r="D9" s="98" t="s">
        <v>47</v>
      </c>
      <c r="E9" s="98"/>
      <c r="F9" s="98" t="s">
        <v>127</v>
      </c>
      <c r="G9" s="98"/>
      <c r="H9" s="2"/>
    </row>
    <row r="10" spans="1:8" x14ac:dyDescent="0.25">
      <c r="A10" s="2"/>
      <c r="B10" s="106" t="s">
        <v>204</v>
      </c>
      <c r="C10" s="107"/>
      <c r="D10" s="12">
        <v>0</v>
      </c>
      <c r="E10" s="23" t="s">
        <v>4</v>
      </c>
      <c r="F10" s="12">
        <v>0</v>
      </c>
      <c r="G10" s="23" t="s">
        <v>4</v>
      </c>
      <c r="H10" s="2"/>
    </row>
    <row r="11" spans="1:8" x14ac:dyDescent="0.25">
      <c r="A11" s="2"/>
      <c r="B11" s="83" t="s">
        <v>128</v>
      </c>
      <c r="C11" s="85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83" t="s">
        <v>144</v>
      </c>
      <c r="C12" s="85"/>
      <c r="D12" s="21">
        <f>D11*(1+'Fane 2.1. Økonomisk ramme 2018'!E18/100)</f>
        <v>0</v>
      </c>
      <c r="E12" s="22" t="s">
        <v>4</v>
      </c>
      <c r="F12" s="21">
        <f>F11*(1+'Fane 2.1. Økonomisk ramme 2018'!E18/100)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3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109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56</v>
      </c>
      <c r="C8" s="84"/>
      <c r="D8" s="84"/>
      <c r="E8" s="84"/>
      <c r="F8" s="84"/>
      <c r="G8" s="84"/>
      <c r="H8" s="85"/>
      <c r="I8" s="2"/>
    </row>
    <row r="9" spans="1:9" ht="15" customHeight="1" x14ac:dyDescent="0.25">
      <c r="A9" s="2"/>
      <c r="B9" s="70" t="s">
        <v>60</v>
      </c>
      <c r="C9" s="71"/>
      <c r="D9" s="72"/>
      <c r="E9" s="8">
        <f>'Fane 3. Korrigeret grundlag'!G12</f>
        <v>267624591.94271252</v>
      </c>
      <c r="F9" s="9" t="s">
        <v>4</v>
      </c>
      <c r="G9" s="10"/>
      <c r="H9" s="11"/>
      <c r="I9" s="2"/>
    </row>
    <row r="10" spans="1:9" x14ac:dyDescent="0.25">
      <c r="A10" s="2"/>
      <c r="B10" s="79" t="s">
        <v>46</v>
      </c>
      <c r="C10" s="74"/>
      <c r="D10" s="75"/>
      <c r="E10" s="12">
        <f>'Fane 3. Korrigeret grundlag'!G11</f>
        <v>14021113.288028339</v>
      </c>
      <c r="F10" s="9" t="s">
        <v>4</v>
      </c>
      <c r="G10" s="13"/>
      <c r="H10" s="14"/>
      <c r="I10" s="2"/>
    </row>
    <row r="11" spans="1:9" x14ac:dyDescent="0.25">
      <c r="A11" s="2"/>
      <c r="B11" s="79" t="s">
        <v>121</v>
      </c>
      <c r="C11" s="74"/>
      <c r="D11" s="75"/>
      <c r="E11" s="12">
        <f>'Fane 4. Ikke-påvirkelige omk.'!G19</f>
        <v>5212006.1288515003</v>
      </c>
      <c r="F11" s="9" t="s">
        <v>4</v>
      </c>
      <c r="G11" s="13"/>
      <c r="H11" s="14"/>
      <c r="I11" s="2"/>
    </row>
    <row r="12" spans="1:9" x14ac:dyDescent="0.25">
      <c r="A12" s="2"/>
      <c r="B12" s="37" t="s">
        <v>207</v>
      </c>
      <c r="C12" s="38"/>
      <c r="D12" s="39"/>
      <c r="E12" s="12">
        <f>'Fane 5. Individuelt eff.krav'!G10</f>
        <v>-3382372.1360045667</v>
      </c>
      <c r="F12" s="9" t="s">
        <v>4</v>
      </c>
      <c r="G12" s="13"/>
      <c r="H12" s="14"/>
      <c r="I12" s="2"/>
    </row>
    <row r="13" spans="1:9" x14ac:dyDescent="0.25">
      <c r="A13" s="2"/>
      <c r="B13" s="70" t="s">
        <v>129</v>
      </c>
      <c r="C13" s="71"/>
      <c r="D13" s="72"/>
      <c r="E13" s="12">
        <f>'Fane 11. Tillæg'!$D$12</f>
        <v>1078279.345</v>
      </c>
      <c r="F13" s="9" t="s">
        <v>4</v>
      </c>
      <c r="G13" s="13"/>
      <c r="H13" s="14"/>
      <c r="I13" s="2"/>
    </row>
    <row r="14" spans="1:9" x14ac:dyDescent="0.25">
      <c r="A14" s="2"/>
      <c r="B14" s="70" t="s">
        <v>130</v>
      </c>
      <c r="C14" s="71"/>
      <c r="D14" s="72"/>
      <c r="E14" s="12">
        <f>'Fane 11. Tillæg'!$F$12</f>
        <v>0</v>
      </c>
      <c r="F14" s="9" t="s">
        <v>4</v>
      </c>
      <c r="G14" s="13"/>
      <c r="H14" s="14"/>
      <c r="I14" s="2"/>
    </row>
    <row r="15" spans="1:9" x14ac:dyDescent="0.25">
      <c r="A15" s="2"/>
      <c r="B15" s="70" t="s">
        <v>193</v>
      </c>
      <c r="C15" s="71"/>
      <c r="D15" s="72"/>
      <c r="E15" s="12">
        <f>'Fane 11. Tillæg'!F19</f>
        <v>0</v>
      </c>
      <c r="F15" s="9" t="s">
        <v>4</v>
      </c>
      <c r="G15" s="13"/>
      <c r="H15" s="14"/>
      <c r="I15" s="2"/>
    </row>
    <row r="16" spans="1:9" x14ac:dyDescent="0.25">
      <c r="A16" s="2"/>
      <c r="B16" s="70" t="s">
        <v>131</v>
      </c>
      <c r="C16" s="71"/>
      <c r="D16" s="72"/>
      <c r="E16" s="12">
        <f>'Fane 12. Bortfald'!$D$12</f>
        <v>0</v>
      </c>
      <c r="F16" s="9" t="s">
        <v>4</v>
      </c>
      <c r="G16" s="13"/>
      <c r="H16" s="14"/>
      <c r="I16" s="2"/>
    </row>
    <row r="17" spans="1:9" x14ac:dyDescent="0.25">
      <c r="A17" s="2"/>
      <c r="B17" s="70" t="s">
        <v>132</v>
      </c>
      <c r="C17" s="71"/>
      <c r="D17" s="72"/>
      <c r="E17" s="12">
        <f>'Fane 12. Bortfald'!$F$12</f>
        <v>0</v>
      </c>
      <c r="F17" s="9" t="s">
        <v>4</v>
      </c>
      <c r="G17" s="13"/>
      <c r="H17" s="14"/>
      <c r="I17" s="2"/>
    </row>
    <row r="18" spans="1:9" x14ac:dyDescent="0.25">
      <c r="A18" s="2"/>
      <c r="B18" s="37" t="s">
        <v>124</v>
      </c>
      <c r="C18" s="38"/>
      <c r="D18" s="39"/>
      <c r="E18" s="26">
        <v>1.75</v>
      </c>
      <c r="F18" s="9" t="s">
        <v>38</v>
      </c>
      <c r="G18" s="13"/>
      <c r="H18" s="14"/>
      <c r="I18" s="2"/>
    </row>
    <row r="19" spans="1:9" x14ac:dyDescent="0.25">
      <c r="A19" s="2"/>
      <c r="B19" s="79" t="s">
        <v>123</v>
      </c>
      <c r="C19" s="74"/>
      <c r="D19" s="75"/>
      <c r="E19" s="12">
        <f>SUM(E9,E11:E17)*(E18/100)</f>
        <v>4734318.8424097914</v>
      </c>
      <c r="F19" s="9" t="s">
        <v>4</v>
      </c>
      <c r="G19" s="13"/>
      <c r="H19" s="14"/>
      <c r="I19" s="2"/>
    </row>
    <row r="20" spans="1:9" x14ac:dyDescent="0.25">
      <c r="A20" s="2"/>
      <c r="B20" s="73" t="s">
        <v>15</v>
      </c>
      <c r="C20" s="74"/>
      <c r="D20" s="75"/>
      <c r="E20" s="12">
        <f>'Fane 5. Individuelt eff.krav'!G12</f>
        <v>0</v>
      </c>
      <c r="F20" s="9" t="s">
        <v>4</v>
      </c>
      <c r="G20" s="15"/>
      <c r="H20" s="14"/>
      <c r="I20" s="2"/>
    </row>
    <row r="21" spans="1:9" x14ac:dyDescent="0.25">
      <c r="A21" s="2"/>
      <c r="B21" s="73" t="s">
        <v>16</v>
      </c>
      <c r="C21" s="74"/>
      <c r="D21" s="75"/>
      <c r="E21" s="12">
        <f>'Fane 6. Generelt eff.krav'!G17</f>
        <v>4730253.1110496232</v>
      </c>
      <c r="F21" s="9" t="s">
        <v>4</v>
      </c>
      <c r="G21" s="16"/>
      <c r="H21" s="17"/>
      <c r="I21" s="2"/>
    </row>
    <row r="22" spans="1:9" x14ac:dyDescent="0.25">
      <c r="A22" s="2"/>
      <c r="B22" s="80" t="s">
        <v>198</v>
      </c>
      <c r="C22" s="81"/>
      <c r="D22" s="82"/>
      <c r="E22" s="18">
        <f>SUM(E9,E11:E17,E19)-SUM(E20:E21)</f>
        <v>270536571.01191962</v>
      </c>
      <c r="F22" s="19" t="s">
        <v>4</v>
      </c>
      <c r="G22" s="18">
        <f>E22</f>
        <v>270536571.01191962</v>
      </c>
      <c r="H22" s="19" t="s">
        <v>4</v>
      </c>
      <c r="I22" s="2"/>
    </row>
    <row r="23" spans="1:9" x14ac:dyDescent="0.25">
      <c r="A23" s="2"/>
      <c r="B23" s="83" t="s">
        <v>17</v>
      </c>
      <c r="C23" s="84"/>
      <c r="D23" s="84"/>
      <c r="E23" s="84"/>
      <c r="F23" s="84"/>
      <c r="G23" s="84"/>
      <c r="H23" s="85"/>
      <c r="I23" s="2"/>
    </row>
    <row r="24" spans="1:9" x14ac:dyDescent="0.25">
      <c r="A24" s="2"/>
      <c r="B24" s="76" t="s">
        <v>55</v>
      </c>
      <c r="C24" s="77"/>
      <c r="D24" s="78"/>
      <c r="E24" s="18">
        <f>'Fane 7. Hist. over el. underdæk'!G13</f>
        <v>3992872.4955908284</v>
      </c>
      <c r="F24" s="19" t="s">
        <v>4</v>
      </c>
      <c r="G24" s="18">
        <f>E24</f>
        <v>3992872.4955908284</v>
      </c>
      <c r="H24" s="19" t="s">
        <v>4</v>
      </c>
      <c r="I24" s="2"/>
    </row>
    <row r="25" spans="1:9" x14ac:dyDescent="0.25">
      <c r="A25" s="2"/>
      <c r="B25" s="83" t="s">
        <v>98</v>
      </c>
      <c r="C25" s="84"/>
      <c r="D25" s="84"/>
      <c r="E25" s="84"/>
      <c r="F25" s="84"/>
      <c r="G25" s="84"/>
      <c r="H25" s="85"/>
      <c r="I25" s="2"/>
    </row>
    <row r="26" spans="1:9" x14ac:dyDescent="0.25">
      <c r="A26" s="2"/>
      <c r="B26" s="70" t="s">
        <v>105</v>
      </c>
      <c r="C26" s="71"/>
      <c r="D26" s="72"/>
      <c r="E26" s="12">
        <f>'Fane 9. Korrektion af PL2016'!G11</f>
        <v>5353772</v>
      </c>
      <c r="F26" s="9" t="s">
        <v>4</v>
      </c>
      <c r="G26" s="20"/>
      <c r="H26" s="11"/>
      <c r="I26" s="2"/>
    </row>
    <row r="27" spans="1:9" x14ac:dyDescent="0.25">
      <c r="A27" s="2"/>
      <c r="B27" s="70" t="s">
        <v>99</v>
      </c>
      <c r="C27" s="71"/>
      <c r="D27" s="72"/>
      <c r="E27" s="12">
        <f>'Fane 9. Korrektion af PL2016'!G17</f>
        <v>402658</v>
      </c>
      <c r="F27" s="9" t="s">
        <v>4</v>
      </c>
      <c r="G27" s="15"/>
      <c r="H27" s="14"/>
      <c r="I27" s="2"/>
    </row>
    <row r="28" spans="1:9" ht="30" customHeight="1" x14ac:dyDescent="0.25">
      <c r="A28" s="2"/>
      <c r="B28" s="70" t="s">
        <v>100</v>
      </c>
      <c r="C28" s="71"/>
      <c r="D28" s="72"/>
      <c r="E28" s="12">
        <f>'Fane 9. Korrektion af PL2016'!G23</f>
        <v>-85129</v>
      </c>
      <c r="F28" s="9" t="s">
        <v>4</v>
      </c>
      <c r="G28" s="13"/>
      <c r="H28" s="14"/>
      <c r="I28" s="2"/>
    </row>
    <row r="29" spans="1:9" ht="30" customHeight="1" x14ac:dyDescent="0.25">
      <c r="A29" s="2"/>
      <c r="B29" s="70" t="s">
        <v>101</v>
      </c>
      <c r="C29" s="71"/>
      <c r="D29" s="72"/>
      <c r="E29" s="12">
        <f>'Fane 9. Korrektion af PL2016'!G29</f>
        <v>0</v>
      </c>
      <c r="F29" s="9" t="s">
        <v>4</v>
      </c>
      <c r="G29" s="15"/>
      <c r="H29" s="14"/>
      <c r="I29" s="2"/>
    </row>
    <row r="30" spans="1:9" ht="28.5" customHeight="1" x14ac:dyDescent="0.25">
      <c r="A30" s="2"/>
      <c r="B30" s="70" t="s">
        <v>102</v>
      </c>
      <c r="C30" s="71"/>
      <c r="D30" s="72"/>
      <c r="E30" s="12">
        <f>'Fane 9. Korrektion af PL2016'!G35</f>
        <v>966499.6306666676</v>
      </c>
      <c r="F30" s="9" t="s">
        <v>4</v>
      </c>
      <c r="G30" s="15"/>
      <c r="H30" s="14"/>
      <c r="I30" s="2"/>
    </row>
    <row r="31" spans="1:9" x14ac:dyDescent="0.25">
      <c r="A31" s="2"/>
      <c r="B31" s="76" t="s">
        <v>103</v>
      </c>
      <c r="C31" s="77"/>
      <c r="D31" s="78"/>
      <c r="E31" s="18">
        <f>SUM(E26:E30)</f>
        <v>6637800.6306666676</v>
      </c>
      <c r="F31" s="19" t="s">
        <v>4</v>
      </c>
      <c r="G31" s="18">
        <f>E31</f>
        <v>6637800.6306666676</v>
      </c>
      <c r="H31" s="19" t="s">
        <v>4</v>
      </c>
      <c r="I31" s="2"/>
    </row>
    <row r="32" spans="1:9" x14ac:dyDescent="0.25">
      <c r="A32" s="2"/>
      <c r="B32" s="83" t="s">
        <v>18</v>
      </c>
      <c r="C32" s="84"/>
      <c r="D32" s="84"/>
      <c r="E32" s="84"/>
      <c r="F32" s="84"/>
      <c r="G32" s="84"/>
      <c r="H32" s="85"/>
      <c r="I32" s="2"/>
    </row>
    <row r="33" spans="1:9" x14ac:dyDescent="0.25">
      <c r="A33" s="2"/>
      <c r="B33" s="76" t="s">
        <v>104</v>
      </c>
      <c r="C33" s="77"/>
      <c r="D33" s="78"/>
      <c r="E33" s="18">
        <f>'Fane 10. Kontrol af PL2016'!G36</f>
        <v>-576062.39505136013</v>
      </c>
      <c r="F33" s="19" t="s">
        <v>4</v>
      </c>
      <c r="G33" s="18">
        <f>E33</f>
        <v>-576062.39505136013</v>
      </c>
      <c r="H33" s="19" t="s">
        <v>4</v>
      </c>
      <c r="I33" s="2"/>
    </row>
    <row r="34" spans="1:9" x14ac:dyDescent="0.25">
      <c r="A34" s="2"/>
      <c r="B34" s="83" t="s">
        <v>62</v>
      </c>
      <c r="C34" s="84"/>
      <c r="D34" s="84"/>
      <c r="E34" s="84"/>
      <c r="F34" s="85"/>
      <c r="G34" s="21">
        <f>G22+G24+G31+G33</f>
        <v>280591181.74312574</v>
      </c>
      <c r="H34" s="22" t="s">
        <v>4</v>
      </c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26">
    <mergeCell ref="B11:D11"/>
    <mergeCell ref="B31:D31"/>
    <mergeCell ref="B28:D28"/>
    <mergeCell ref="B34:F34"/>
    <mergeCell ref="B19:D19"/>
    <mergeCell ref="B13:D13"/>
    <mergeCell ref="B14:D14"/>
    <mergeCell ref="B16:D16"/>
    <mergeCell ref="B17:D17"/>
    <mergeCell ref="B15:D15"/>
    <mergeCell ref="B3:H4"/>
    <mergeCell ref="B9:D9"/>
    <mergeCell ref="B20:D20"/>
    <mergeCell ref="B33:D33"/>
    <mergeCell ref="B21:D21"/>
    <mergeCell ref="B10:D10"/>
    <mergeCell ref="B22:D22"/>
    <mergeCell ref="B24:D24"/>
    <mergeCell ref="B27:D27"/>
    <mergeCell ref="B29:D29"/>
    <mergeCell ref="B30:D30"/>
    <mergeCell ref="B32:H32"/>
    <mergeCell ref="B25:H25"/>
    <mergeCell ref="B23:H23"/>
    <mergeCell ref="B26:D26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1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108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56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0" t="s">
        <v>106</v>
      </c>
      <c r="C9" s="71"/>
      <c r="D9" s="72"/>
      <c r="E9" s="8">
        <f>'Fane 2.1. Økonomisk ramme 2018'!G22</f>
        <v>270536571.01191962</v>
      </c>
      <c r="F9" s="9" t="s">
        <v>4</v>
      </c>
      <c r="G9" s="10"/>
      <c r="H9" s="11"/>
      <c r="I9" s="2"/>
    </row>
    <row r="10" spans="1:9" x14ac:dyDescent="0.25">
      <c r="A10" s="2"/>
      <c r="B10" s="79" t="s">
        <v>46</v>
      </c>
      <c r="C10" s="86"/>
      <c r="D10" s="87"/>
      <c r="E10" s="12">
        <f>(SUM('Fane 2.1. Økonomisk ramme 2018'!E10:E11,'Fane 2.1. Økonomisk ramme 2018'!E15))*(1+'Fane 2.1. Økonomisk ramme 2018'!E18/100)</f>
        <v>19569699.00667524</v>
      </c>
      <c r="F10" s="9" t="s">
        <v>4</v>
      </c>
      <c r="G10" s="13"/>
      <c r="H10" s="14"/>
      <c r="I10" s="2"/>
    </row>
    <row r="11" spans="1:9" x14ac:dyDescent="0.25">
      <c r="A11" s="2"/>
      <c r="B11" s="73" t="s">
        <v>61</v>
      </c>
      <c r="C11" s="74"/>
      <c r="D11" s="75"/>
      <c r="E11" s="12">
        <f>$E$9*'Fane 2.1. Økonomisk ramme 2018'!E18/100</f>
        <v>4734389.9927085936</v>
      </c>
      <c r="F11" s="9" t="s">
        <v>4</v>
      </c>
      <c r="G11" s="15"/>
      <c r="H11" s="14"/>
      <c r="I11" s="2"/>
    </row>
    <row r="12" spans="1:9" x14ac:dyDescent="0.25">
      <c r="A12" s="2"/>
      <c r="B12" s="73" t="s">
        <v>15</v>
      </c>
      <c r="C12" s="74"/>
      <c r="D12" s="75"/>
      <c r="E12" s="12">
        <f>($E$9-$E$10)*(1+'Fane 2.1. Økonomisk ramme 2018'!E18/100)*'Fane 5. Individuelt eff.krav'!$G$11/100</f>
        <v>0</v>
      </c>
      <c r="F12" s="9" t="s">
        <v>4</v>
      </c>
      <c r="G12" s="15"/>
      <c r="H12" s="14"/>
      <c r="I12" s="2"/>
    </row>
    <row r="13" spans="1:9" x14ac:dyDescent="0.25">
      <c r="A13" s="2"/>
      <c r="B13" s="40" t="s">
        <v>16</v>
      </c>
      <c r="C13" s="38"/>
      <c r="D13" s="39"/>
      <c r="E13" s="12">
        <f>(('Fane 6. Generelt eff.krav'!G12/('Fane 6. Generelt eff.krav'!G11/100)-'Fane 6. Generelt eff.krav'!G12))*(1+'Fane 2.1. Økonomisk ramme 2018'!E18/100)*'Fane 6. Generelt eff.krav'!G11/100+(('Fane 6. Generelt eff.krav'!G16/('Fane 6. Generelt eff.krav'!G15/100))-'Fane 6. Generelt eff.krav'!G16)*(1+'Fane 2.1. Økonomisk ramme 2018'!E18/100)*'Fane 6. Generelt eff.krav'!G15/100</f>
        <v>4723731.7865174981</v>
      </c>
      <c r="F13" s="9" t="s">
        <v>4</v>
      </c>
      <c r="G13" s="16"/>
      <c r="H13" s="17"/>
      <c r="I13" s="2"/>
    </row>
    <row r="14" spans="1:9" x14ac:dyDescent="0.25">
      <c r="A14" s="2"/>
      <c r="B14" s="80" t="s">
        <v>198</v>
      </c>
      <c r="C14" s="81"/>
      <c r="D14" s="82"/>
      <c r="E14" s="18">
        <f>$E$9+$E$11-$E$12-$E$13</f>
        <v>270547229.21811068</v>
      </c>
      <c r="F14" s="19" t="s">
        <v>4</v>
      </c>
      <c r="G14" s="18">
        <f>E14</f>
        <v>270547229.21811068</v>
      </c>
      <c r="H14" s="19" t="s">
        <v>4</v>
      </c>
      <c r="I14" s="2"/>
    </row>
    <row r="15" spans="1:9" x14ac:dyDescent="0.25">
      <c r="A15" s="2"/>
      <c r="B15" s="83" t="s">
        <v>17</v>
      </c>
      <c r="C15" s="84"/>
      <c r="D15" s="84"/>
      <c r="E15" s="84"/>
      <c r="F15" s="84"/>
      <c r="G15" s="84"/>
      <c r="H15" s="85"/>
      <c r="I15" s="2"/>
    </row>
    <row r="16" spans="1:9" ht="15" customHeight="1" x14ac:dyDescent="0.25">
      <c r="A16" s="2"/>
      <c r="B16" s="76" t="s">
        <v>55</v>
      </c>
      <c r="C16" s="77"/>
      <c r="D16" s="78"/>
      <c r="E16" s="18">
        <f>IF('Fane 7. Hist. over el. underdæk'!$G$12&gt;1,'Fane 7. Hist. over el. underdæk'!$G$13,0)</f>
        <v>3992872.4955908284</v>
      </c>
      <c r="F16" s="19" t="s">
        <v>4</v>
      </c>
      <c r="G16" s="18">
        <f>E16</f>
        <v>3992872.4955908284</v>
      </c>
      <c r="H16" s="19" t="s">
        <v>4</v>
      </c>
      <c r="I16" s="2"/>
    </row>
    <row r="17" spans="1:9" x14ac:dyDescent="0.25">
      <c r="A17" s="2"/>
      <c r="B17" s="83" t="s">
        <v>107</v>
      </c>
      <c r="C17" s="84"/>
      <c r="D17" s="84"/>
      <c r="E17" s="84"/>
      <c r="F17" s="85"/>
      <c r="G17" s="21">
        <f>G14+G16</f>
        <v>274540101.71370149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7:F17"/>
    <mergeCell ref="B3:H4"/>
    <mergeCell ref="B8:H8"/>
    <mergeCell ref="B9:D9"/>
    <mergeCell ref="B10:D10"/>
    <mergeCell ref="B11:D11"/>
    <mergeCell ref="B12:D12"/>
    <mergeCell ref="B14:D14"/>
    <mergeCell ref="B15:H15"/>
    <mergeCell ref="B16:D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21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210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56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0" t="s">
        <v>211</v>
      </c>
      <c r="C9" s="71"/>
      <c r="D9" s="72"/>
      <c r="E9" s="8">
        <f>'Fane 2.2. Økonomisk ramme 2019'!G14</f>
        <v>270547229.21811068</v>
      </c>
      <c r="F9" s="9" t="s">
        <v>4</v>
      </c>
      <c r="G9" s="10"/>
      <c r="H9" s="11"/>
      <c r="I9" s="2"/>
    </row>
    <row r="10" spans="1:9" x14ac:dyDescent="0.25">
      <c r="A10" s="2"/>
      <c r="B10" s="79" t="s">
        <v>46</v>
      </c>
      <c r="C10" s="86"/>
      <c r="D10" s="87"/>
      <c r="E10" s="12">
        <f>(SUM('Fane 2.1. Økonomisk ramme 2018'!E10:E11,'Fane 2.1. Økonomisk ramme 2018'!E15))*(1+'Fane 2.1. Økonomisk ramme 2018'!E18/100)^2</f>
        <v>19912168.739292055</v>
      </c>
      <c r="F10" s="9" t="s">
        <v>4</v>
      </c>
      <c r="G10" s="13"/>
      <c r="H10" s="14"/>
      <c r="I10" s="2"/>
    </row>
    <row r="11" spans="1:9" x14ac:dyDescent="0.25">
      <c r="A11" s="2"/>
      <c r="B11" s="73" t="s">
        <v>61</v>
      </c>
      <c r="C11" s="74"/>
      <c r="D11" s="75"/>
      <c r="E11" s="12">
        <f>$E$9*'Fane 2.1. Økonomisk ramme 2018'!E18/100</f>
        <v>4734576.5113169374</v>
      </c>
      <c r="F11" s="9" t="s">
        <v>4</v>
      </c>
      <c r="G11" s="15"/>
      <c r="H11" s="14"/>
      <c r="I11" s="2"/>
    </row>
    <row r="12" spans="1:9" x14ac:dyDescent="0.25">
      <c r="A12" s="2"/>
      <c r="B12" s="73" t="s">
        <v>15</v>
      </c>
      <c r="C12" s="74"/>
      <c r="D12" s="75"/>
      <c r="E12" s="12">
        <f>($E$9-$E$10)*(1+'Fane 2.1. Økonomisk ramme 2018'!E18/100)*'Fane 5. Individuelt eff.krav'!$G$11/100</f>
        <v>0</v>
      </c>
      <c r="F12" s="9" t="s">
        <v>4</v>
      </c>
      <c r="G12" s="15"/>
      <c r="H12" s="14"/>
      <c r="I12" s="2"/>
    </row>
    <row r="13" spans="1:9" x14ac:dyDescent="0.25">
      <c r="A13" s="2"/>
      <c r="B13" s="40" t="s">
        <v>16</v>
      </c>
      <c r="C13" s="38"/>
      <c r="D13" s="39"/>
      <c r="E13" s="12">
        <f>(('Fane 6. Generelt eff.krav'!G12/('Fane 6. Generelt eff.krav'!G11/100)-'Fane 6. Generelt eff.krav'!G12))*(1+'Fane 2.1. Økonomisk ramme 2018'!E18/100)^2*(1-'Fane 6. Generelt eff.krav'!G11/100)*'Fane 6. Generelt eff.krav'!G11/100+(('Fane 6. Generelt eff.krav'!G16/('Fane 6. Generelt eff.krav'!G15/100))-'Fane 6. Generelt eff.krav'!G16)*(1+'Fane 2.1. Økonomisk ramme 2018'!E18/100)^2*(1-'Fane 6. Generelt eff.krav'!G15/100)*'Fane 6. Generelt eff.krav'!G15/100</f>
        <v>4717225.4999528779</v>
      </c>
      <c r="F13" s="9" t="s">
        <v>4</v>
      </c>
      <c r="G13" s="16"/>
      <c r="H13" s="17"/>
      <c r="I13" s="2"/>
    </row>
    <row r="14" spans="1:9" x14ac:dyDescent="0.25">
      <c r="A14" s="2"/>
      <c r="B14" s="80" t="s">
        <v>198</v>
      </c>
      <c r="C14" s="81"/>
      <c r="D14" s="82"/>
      <c r="E14" s="18">
        <f>$E$9+$E$11-$E$12-$E$13</f>
        <v>270564580.22947478</v>
      </c>
      <c r="F14" s="19" t="s">
        <v>4</v>
      </c>
      <c r="G14" s="18">
        <f>E14</f>
        <v>270564580.22947478</v>
      </c>
      <c r="H14" s="19" t="s">
        <v>4</v>
      </c>
      <c r="I14" s="2"/>
    </row>
    <row r="15" spans="1:9" x14ac:dyDescent="0.25">
      <c r="A15" s="2"/>
      <c r="B15" s="83" t="s">
        <v>17</v>
      </c>
      <c r="C15" s="84"/>
      <c r="D15" s="84"/>
      <c r="E15" s="84"/>
      <c r="F15" s="84"/>
      <c r="G15" s="84"/>
      <c r="H15" s="85"/>
      <c r="I15" s="2"/>
    </row>
    <row r="16" spans="1:9" ht="15" customHeight="1" x14ac:dyDescent="0.25">
      <c r="A16" s="2"/>
      <c r="B16" s="76" t="s">
        <v>55</v>
      </c>
      <c r="C16" s="77"/>
      <c r="D16" s="78"/>
      <c r="E16" s="18">
        <f>IF('Fane 7. Hist. over el. underdæk'!$G$12&gt;2,'Fane 7. Hist. over el. underdæk'!$G$13,0)</f>
        <v>3992872.4955908284</v>
      </c>
      <c r="F16" s="19" t="s">
        <v>4</v>
      </c>
      <c r="G16" s="18">
        <f>E16</f>
        <v>3992872.4955908284</v>
      </c>
      <c r="H16" s="19" t="s">
        <v>4</v>
      </c>
      <c r="I16" s="2"/>
    </row>
    <row r="17" spans="1:9" x14ac:dyDescent="0.25">
      <c r="A17" s="2"/>
      <c r="B17" s="83" t="s">
        <v>212</v>
      </c>
      <c r="C17" s="84"/>
      <c r="D17" s="84"/>
      <c r="E17" s="84"/>
      <c r="F17" s="85"/>
      <c r="G17" s="21">
        <f>G14+G16</f>
        <v>274557452.72506559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10">
    <mergeCell ref="B14:D14"/>
    <mergeCell ref="B15:H15"/>
    <mergeCell ref="B16:D16"/>
    <mergeCell ref="B17:F17"/>
    <mergeCell ref="B3:H4"/>
    <mergeCell ref="B8:H8"/>
    <mergeCell ref="B9:D9"/>
    <mergeCell ref="B10:D10"/>
    <mergeCell ref="B11:D11"/>
    <mergeCell ref="B12:D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I19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213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56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0" t="s">
        <v>214</v>
      </c>
      <c r="C9" s="71"/>
      <c r="D9" s="72"/>
      <c r="E9" s="8">
        <f>'Fane 2.3. Økonomisk ramme 2020'!G14</f>
        <v>270564580.22947478</v>
      </c>
      <c r="F9" s="9" t="s">
        <v>4</v>
      </c>
      <c r="G9" s="10"/>
      <c r="H9" s="11"/>
      <c r="I9" s="2"/>
    </row>
    <row r="10" spans="1:9" x14ac:dyDescent="0.25">
      <c r="A10" s="2"/>
      <c r="B10" s="79" t="s">
        <v>46</v>
      </c>
      <c r="C10" s="86"/>
      <c r="D10" s="87"/>
      <c r="E10" s="12">
        <f>(SUM('Fane 2.1. Økonomisk ramme 2018'!E10:E11,'Fane 2.1. Økonomisk ramme 2018'!E15))*(1+'Fane 2.1. Økonomisk ramme 2018'!E18/100)^3</f>
        <v>20260631.692229666</v>
      </c>
      <c r="F10" s="9" t="s">
        <v>4</v>
      </c>
      <c r="G10" s="13"/>
      <c r="H10" s="14"/>
      <c r="I10" s="2"/>
    </row>
    <row r="11" spans="1:9" x14ac:dyDescent="0.25">
      <c r="A11" s="2"/>
      <c r="B11" s="73" t="s">
        <v>61</v>
      </c>
      <c r="C11" s="74"/>
      <c r="D11" s="75"/>
      <c r="E11" s="12">
        <f>$E$9*'Fane 2.1. Økonomisk ramme 2018'!E18/100</f>
        <v>4734880.1540158084</v>
      </c>
      <c r="F11" s="9" t="s">
        <v>4</v>
      </c>
      <c r="G11" s="15"/>
      <c r="H11" s="14"/>
      <c r="I11" s="2"/>
    </row>
    <row r="12" spans="1:9" x14ac:dyDescent="0.25">
      <c r="A12" s="2"/>
      <c r="B12" s="73" t="s">
        <v>15</v>
      </c>
      <c r="C12" s="74"/>
      <c r="D12" s="75"/>
      <c r="E12" s="12">
        <f>($E$9-$E$10)*(1+'Fane 2.1. Økonomisk ramme 2018'!E18/100)*'Fane 5. Individuelt eff.krav'!$G$11/100</f>
        <v>0</v>
      </c>
      <c r="F12" s="9" t="s">
        <v>4</v>
      </c>
      <c r="G12" s="15"/>
      <c r="H12" s="14"/>
      <c r="I12" s="2"/>
    </row>
    <row r="13" spans="1:9" x14ac:dyDescent="0.25">
      <c r="A13" s="2"/>
      <c r="B13" s="40" t="s">
        <v>16</v>
      </c>
      <c r="C13" s="38"/>
      <c r="D13" s="39"/>
      <c r="E13" s="12">
        <f>(('Fane 6. Generelt eff.krav'!G12/('Fane 6. Generelt eff.krav'!G11/100)-'Fane 6. Generelt eff.krav'!G12))*(1+'Fane 2.1. Økonomisk ramme 2018'!E18/100)^3*(1-'Fane 6. Generelt eff.krav'!G11/100)^2*'Fane 6. Generelt eff.krav'!G11/100+(('Fane 6. Generelt eff.krav'!G16/('Fane 6. Generelt eff.krav'!G15/100))-'Fane 6. Generelt eff.krav'!G16)*(1+'Fane 2.1. Økonomisk ramme 2018'!E18/100)^3*(1-'Fane 6. Generelt eff.krav'!G15/100)^2*'Fane 6. Generelt eff.krav'!G15/100</f>
        <v>4710734.2103060493</v>
      </c>
      <c r="F13" s="9" t="s">
        <v>4</v>
      </c>
      <c r="G13" s="16"/>
      <c r="H13" s="17"/>
      <c r="I13" s="2"/>
    </row>
    <row r="14" spans="1:9" x14ac:dyDescent="0.25">
      <c r="A14" s="2"/>
      <c r="B14" s="80" t="s">
        <v>198</v>
      </c>
      <c r="C14" s="81"/>
      <c r="D14" s="82"/>
      <c r="E14" s="18">
        <f>$E$9+$E$11-$E$12-$E$13</f>
        <v>270588726.17318451</v>
      </c>
      <c r="F14" s="19" t="s">
        <v>4</v>
      </c>
      <c r="G14" s="18">
        <f>E14</f>
        <v>270588726.17318451</v>
      </c>
      <c r="H14" s="19" t="s">
        <v>4</v>
      </c>
      <c r="I14" s="2"/>
    </row>
    <row r="15" spans="1:9" x14ac:dyDescent="0.25">
      <c r="A15" s="2"/>
      <c r="B15" s="83" t="s">
        <v>215</v>
      </c>
      <c r="C15" s="84"/>
      <c r="D15" s="84"/>
      <c r="E15" s="84"/>
      <c r="F15" s="85"/>
      <c r="G15" s="21">
        <f>G14</f>
        <v>270588726.17318451</v>
      </c>
      <c r="H15" s="22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</sheetData>
  <sheetProtection password="DFE9" sheet="1" objects="1" scenarios="1"/>
  <mergeCells count="8">
    <mergeCell ref="B14:D14"/>
    <mergeCell ref="B15:F15"/>
    <mergeCell ref="B3:H4"/>
    <mergeCell ref="B8:H8"/>
    <mergeCell ref="B9:D9"/>
    <mergeCell ref="B10:D10"/>
    <mergeCell ref="B11:D11"/>
    <mergeCell ref="B12:D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1" t="s">
        <v>139</v>
      </c>
      <c r="C3" s="91"/>
      <c r="D3" s="91"/>
      <c r="E3" s="91"/>
      <c r="F3" s="91"/>
      <c r="G3" s="91"/>
      <c r="H3" s="91"/>
      <c r="I3" s="2"/>
    </row>
    <row r="4" spans="1:9" ht="29.25" customHeight="1" x14ac:dyDescent="0.25">
      <c r="A4" s="2"/>
      <c r="B4" s="91"/>
      <c r="C4" s="91"/>
      <c r="D4" s="91"/>
      <c r="E4" s="91"/>
      <c r="F4" s="91"/>
      <c r="G4" s="91"/>
      <c r="H4" s="9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141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3" t="s">
        <v>110</v>
      </c>
      <c r="C9" s="74"/>
      <c r="D9" s="74"/>
      <c r="E9" s="74"/>
      <c r="F9" s="75"/>
      <c r="G9" s="12">
        <v>86963494.691677257</v>
      </c>
      <c r="H9" s="23" t="s">
        <v>4</v>
      </c>
      <c r="I9" s="2"/>
    </row>
    <row r="10" spans="1:9" x14ac:dyDescent="0.25">
      <c r="A10" s="2"/>
      <c r="B10" s="73" t="s">
        <v>111</v>
      </c>
      <c r="C10" s="74"/>
      <c r="D10" s="74"/>
      <c r="E10" s="74"/>
      <c r="F10" s="75"/>
      <c r="G10" s="12">
        <v>166639983.96300694</v>
      </c>
      <c r="H10" s="23" t="s">
        <v>4</v>
      </c>
      <c r="I10" s="2"/>
    </row>
    <row r="11" spans="1:9" x14ac:dyDescent="0.25">
      <c r="A11" s="2"/>
      <c r="B11" s="73" t="s">
        <v>138</v>
      </c>
      <c r="C11" s="74"/>
      <c r="D11" s="74"/>
      <c r="E11" s="74"/>
      <c r="F11" s="75"/>
      <c r="G11" s="12">
        <v>14021113.288028339</v>
      </c>
      <c r="H11" s="23" t="s">
        <v>4</v>
      </c>
      <c r="I11" s="2"/>
    </row>
    <row r="12" spans="1:9" ht="17.25" customHeight="1" x14ac:dyDescent="0.25">
      <c r="A12" s="2"/>
      <c r="B12" s="88" t="s">
        <v>143</v>
      </c>
      <c r="C12" s="89"/>
      <c r="D12" s="89"/>
      <c r="E12" s="89"/>
      <c r="F12" s="90"/>
      <c r="G12" s="21">
        <f>SUM(G9:G11)</f>
        <v>267624591.94271252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112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113</v>
      </c>
      <c r="C8" s="84"/>
      <c r="D8" s="84"/>
      <c r="E8" s="84"/>
      <c r="F8" s="84"/>
      <c r="G8" s="84"/>
      <c r="H8" s="85"/>
      <c r="I8" s="2"/>
    </row>
    <row r="9" spans="1:9" ht="51.75" customHeight="1" x14ac:dyDescent="0.25">
      <c r="A9" s="2"/>
      <c r="B9" s="76" t="s">
        <v>115</v>
      </c>
      <c r="C9" s="77"/>
      <c r="D9" s="78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73" t="s">
        <v>184</v>
      </c>
      <c r="C10" s="74"/>
      <c r="D10" s="74"/>
      <c r="E10" s="100">
        <v>4706926.4522000002</v>
      </c>
      <c r="F10" s="23" t="s">
        <v>4</v>
      </c>
      <c r="G10" s="12">
        <v>5763246</v>
      </c>
      <c r="H10" s="23" t="s">
        <v>4</v>
      </c>
      <c r="I10" s="2"/>
    </row>
    <row r="11" spans="1:9" x14ac:dyDescent="0.25">
      <c r="A11" s="2"/>
      <c r="B11" s="73" t="s">
        <v>185</v>
      </c>
      <c r="C11" s="74"/>
      <c r="D11" s="74"/>
      <c r="E11" s="100">
        <v>386406.05599999998</v>
      </c>
      <c r="F11" s="23" t="s">
        <v>4</v>
      </c>
      <c r="G11" s="12">
        <v>388341</v>
      </c>
      <c r="H11" s="23" t="s">
        <v>4</v>
      </c>
      <c r="I11" s="2"/>
    </row>
    <row r="12" spans="1:9" x14ac:dyDescent="0.25">
      <c r="A12" s="2"/>
      <c r="B12" s="73" t="s">
        <v>186</v>
      </c>
      <c r="C12" s="74"/>
      <c r="D12" s="74"/>
      <c r="E12" s="100">
        <v>0</v>
      </c>
      <c r="F12" s="23" t="s">
        <v>4</v>
      </c>
      <c r="G12" s="12">
        <v>4648536</v>
      </c>
      <c r="H12" s="23" t="s">
        <v>4</v>
      </c>
      <c r="I12" s="2"/>
    </row>
    <row r="13" spans="1:9" x14ac:dyDescent="0.25">
      <c r="A13" s="2"/>
      <c r="B13" s="73" t="s">
        <v>187</v>
      </c>
      <c r="C13" s="74"/>
      <c r="D13" s="74"/>
      <c r="E13" s="100">
        <v>32399.4126</v>
      </c>
      <c r="F13" s="23" t="s">
        <v>4</v>
      </c>
      <c r="G13" s="12">
        <v>175768</v>
      </c>
      <c r="H13" s="23" t="s">
        <v>4</v>
      </c>
      <c r="I13" s="2"/>
    </row>
    <row r="14" spans="1:9" x14ac:dyDescent="0.25">
      <c r="A14" s="2"/>
      <c r="B14" s="73" t="s">
        <v>188</v>
      </c>
      <c r="C14" s="74"/>
      <c r="D14" s="74"/>
      <c r="E14" s="100">
        <v>0</v>
      </c>
      <c r="F14" s="23" t="s">
        <v>4</v>
      </c>
      <c r="G14" s="12">
        <v>0</v>
      </c>
      <c r="H14" s="23" t="s">
        <v>4</v>
      </c>
      <c r="I14" s="2"/>
    </row>
    <row r="15" spans="1:9" x14ac:dyDescent="0.25">
      <c r="A15" s="2"/>
      <c r="B15" s="73" t="s">
        <v>189</v>
      </c>
      <c r="C15" s="74"/>
      <c r="D15" s="74"/>
      <c r="E15" s="100">
        <v>8719546.3333999999</v>
      </c>
      <c r="F15" s="23" t="s">
        <v>4</v>
      </c>
      <c r="G15" s="12">
        <v>7991752</v>
      </c>
      <c r="H15" s="23" t="s">
        <v>4</v>
      </c>
      <c r="I15" s="2"/>
    </row>
    <row r="16" spans="1:9" x14ac:dyDescent="0.25">
      <c r="A16" s="2"/>
      <c r="B16" s="73" t="s">
        <v>190</v>
      </c>
      <c r="C16" s="74"/>
      <c r="D16" s="74"/>
      <c r="E16" s="100">
        <v>0</v>
      </c>
      <c r="F16" s="23" t="s">
        <v>4</v>
      </c>
      <c r="G16" s="12">
        <v>0</v>
      </c>
      <c r="H16" s="23" t="s">
        <v>4</v>
      </c>
      <c r="I16" s="2"/>
    </row>
    <row r="17" spans="1:9" x14ac:dyDescent="0.25">
      <c r="A17" s="2"/>
      <c r="B17" s="73" t="s">
        <v>191</v>
      </c>
      <c r="C17" s="74"/>
      <c r="D17" s="74"/>
      <c r="E17" s="100">
        <v>0</v>
      </c>
      <c r="F17" s="23" t="s">
        <v>4</v>
      </c>
      <c r="G17" s="12">
        <v>0</v>
      </c>
      <c r="H17" s="23" t="s">
        <v>4</v>
      </c>
      <c r="I17" s="2"/>
    </row>
    <row r="18" spans="1:9" x14ac:dyDescent="0.25">
      <c r="A18" s="2"/>
      <c r="B18" s="83" t="s">
        <v>134</v>
      </c>
      <c r="C18" s="84"/>
      <c r="D18" s="84"/>
      <c r="E18" s="84"/>
      <c r="F18" s="85"/>
      <c r="G18" s="21">
        <f>SUM(G10:G17)-SUM(E10:E17)</f>
        <v>5122364.7457999997</v>
      </c>
      <c r="H18" s="22" t="s">
        <v>4</v>
      </c>
      <c r="I18" s="2"/>
    </row>
    <row r="19" spans="1:9" x14ac:dyDescent="0.25">
      <c r="A19" s="2"/>
      <c r="B19" s="83" t="s">
        <v>135</v>
      </c>
      <c r="C19" s="84"/>
      <c r="D19" s="84"/>
      <c r="E19" s="84"/>
      <c r="F19" s="85"/>
      <c r="G19" s="21">
        <f>G18*(1+'Fane 2.1. Økonomisk ramme 2018'!E18/100)</f>
        <v>5212006.1288515003</v>
      </c>
      <c r="H19" s="22" t="s">
        <v>4</v>
      </c>
      <c r="I19" s="2"/>
    </row>
    <row r="20" spans="1:9" x14ac:dyDescent="0.25">
      <c r="A20" s="2"/>
      <c r="B20" s="25"/>
      <c r="C20" s="24"/>
      <c r="D20" s="24"/>
      <c r="E20" s="24"/>
      <c r="F20" s="24"/>
      <c r="G20" s="24"/>
      <c r="H20" s="24"/>
      <c r="I20" s="2"/>
    </row>
    <row r="21" spans="1:9" x14ac:dyDescent="0.25">
      <c r="A21" s="2"/>
      <c r="B21" s="24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"/>
      <c r="C22" s="2"/>
      <c r="D22" s="2"/>
      <c r="E22" s="2"/>
      <c r="F22" s="2"/>
      <c r="G22" s="24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71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15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3" t="s">
        <v>51</v>
      </c>
      <c r="C9" s="74"/>
      <c r="D9" s="74"/>
      <c r="E9" s="74"/>
      <c r="F9" s="75"/>
      <c r="G9" s="12">
        <f>'Fane 3. Korrigeret grundlag'!G12-'Fane 3. Korrigeret grundlag'!G11+SUM('Fane 2.1. Økonomisk ramme 2018'!E13:E14,'Fane 2.1. Økonomisk ramme 2018'!E16:E17)</f>
        <v>254681757.99968418</v>
      </c>
      <c r="H9" s="23" t="s">
        <v>4</v>
      </c>
      <c r="I9" s="2"/>
    </row>
    <row r="10" spans="1:9" x14ac:dyDescent="0.25">
      <c r="A10" s="2"/>
      <c r="B10" s="40" t="s">
        <v>207</v>
      </c>
      <c r="C10" s="38"/>
      <c r="D10" s="38"/>
      <c r="E10" s="38"/>
      <c r="F10" s="39"/>
      <c r="G10" s="12">
        <v>-3382372.1360045667</v>
      </c>
      <c r="H10" s="23" t="s">
        <v>4</v>
      </c>
      <c r="I10" s="2"/>
    </row>
    <row r="11" spans="1:9" x14ac:dyDescent="0.25">
      <c r="A11" s="2"/>
      <c r="B11" s="73" t="s">
        <v>37</v>
      </c>
      <c r="C11" s="74"/>
      <c r="D11" s="74"/>
      <c r="E11" s="74"/>
      <c r="F11" s="75"/>
      <c r="G11" s="26">
        <v>0</v>
      </c>
      <c r="H11" s="23" t="s">
        <v>38</v>
      </c>
      <c r="I11" s="2"/>
    </row>
    <row r="12" spans="1:9" x14ac:dyDescent="0.25">
      <c r="A12" s="2"/>
      <c r="B12" s="83" t="s">
        <v>15</v>
      </c>
      <c r="C12" s="84"/>
      <c r="D12" s="84"/>
      <c r="E12" s="84"/>
      <c r="F12" s="85"/>
      <c r="G12" s="21">
        <f>($G$9+G10)*(1+'Fane 2.1. Økonomisk ramme 2018'!E18/100)*($G$11/100)</f>
        <v>0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69" t="s">
        <v>72</v>
      </c>
      <c r="C3" s="69"/>
      <c r="D3" s="69"/>
      <c r="E3" s="69"/>
      <c r="F3" s="69"/>
      <c r="G3" s="69"/>
      <c r="H3" s="69"/>
      <c r="I3" s="2"/>
    </row>
    <row r="4" spans="1:9" ht="15" customHeight="1" x14ac:dyDescent="0.25">
      <c r="A4" s="2"/>
      <c r="B4" s="69"/>
      <c r="C4" s="69"/>
      <c r="D4" s="69"/>
      <c r="E4" s="69"/>
      <c r="F4" s="69"/>
      <c r="G4" s="69"/>
      <c r="H4" s="69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53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92" t="s">
        <v>47</v>
      </c>
      <c r="C9" s="93"/>
      <c r="D9" s="93"/>
      <c r="E9" s="93"/>
      <c r="F9" s="94"/>
      <c r="G9" s="12">
        <f>'Fane 3. Korrigeret grundlag'!G9+(SUM('Fane 2.1. Økonomisk ramme 2018'!E13,'Fane 2.1. Økonomisk ramme 2018'!E16))</f>
        <v>88041774.036677256</v>
      </c>
      <c r="H9" s="23" t="s">
        <v>4</v>
      </c>
      <c r="I9" s="2"/>
    </row>
    <row r="10" spans="1:9" x14ac:dyDescent="0.25">
      <c r="A10" s="2"/>
      <c r="B10" s="41" t="s">
        <v>206</v>
      </c>
      <c r="C10" s="42"/>
      <c r="D10" s="42"/>
      <c r="E10" s="42"/>
      <c r="F10" s="43"/>
      <c r="G10" s="12">
        <v>-1739269.8938335453</v>
      </c>
      <c r="H10" s="23" t="s">
        <v>4</v>
      </c>
      <c r="I10" s="2"/>
    </row>
    <row r="11" spans="1:9" x14ac:dyDescent="0.25">
      <c r="A11" s="2"/>
      <c r="B11" s="73" t="s">
        <v>16</v>
      </c>
      <c r="C11" s="74"/>
      <c r="D11" s="74"/>
      <c r="E11" s="74"/>
      <c r="F11" s="75"/>
      <c r="G11" s="27">
        <f>2</f>
        <v>2</v>
      </c>
      <c r="H11" s="23" t="s">
        <v>38</v>
      </c>
      <c r="I11" s="2"/>
    </row>
    <row r="12" spans="1:9" x14ac:dyDescent="0.25">
      <c r="A12" s="2"/>
      <c r="B12" s="80" t="s">
        <v>39</v>
      </c>
      <c r="C12" s="81"/>
      <c r="D12" s="81"/>
      <c r="E12" s="81"/>
      <c r="F12" s="82"/>
      <c r="G12" s="18">
        <f>($G$9+$G$10)*(1+'Fane 2.1. Økonomisk ramme 2018'!E18/100)*$G$11/100</f>
        <v>1756255.9593068694</v>
      </c>
      <c r="H12" s="28" t="s">
        <v>4</v>
      </c>
      <c r="I12" s="2"/>
    </row>
    <row r="13" spans="1:9" x14ac:dyDescent="0.25">
      <c r="A13" s="2"/>
      <c r="B13" s="73" t="s">
        <v>48</v>
      </c>
      <c r="C13" s="74"/>
      <c r="D13" s="74"/>
      <c r="E13" s="74"/>
      <c r="F13" s="75"/>
      <c r="G13" s="12">
        <f xml:space="preserve"> 'Fane 3. Korrigeret grundlag'!G10+SUM('Fane 2.1. Økonomisk ramme 2018'!E14,'Fane 2.1. Økonomisk ramme 2018'!E17)</f>
        <v>166639983.96300694</v>
      </c>
      <c r="H13" s="23" t="s">
        <v>4</v>
      </c>
      <c r="I13" s="2"/>
    </row>
    <row r="14" spans="1:9" x14ac:dyDescent="0.25">
      <c r="A14" s="2"/>
      <c r="B14" s="40" t="s">
        <v>208</v>
      </c>
      <c r="C14" s="38"/>
      <c r="D14" s="38"/>
      <c r="E14" s="38"/>
      <c r="F14" s="39"/>
      <c r="G14" s="12">
        <v>-1507366.8115887754</v>
      </c>
      <c r="H14" s="23" t="s">
        <v>4</v>
      </c>
      <c r="I14" s="2"/>
    </row>
    <row r="15" spans="1:9" x14ac:dyDescent="0.25">
      <c r="A15" s="2"/>
      <c r="B15" s="73" t="s">
        <v>16</v>
      </c>
      <c r="C15" s="74"/>
      <c r="D15" s="74"/>
      <c r="E15" s="74"/>
      <c r="F15" s="75"/>
      <c r="G15" s="26">
        <v>1.77</v>
      </c>
      <c r="H15" s="23" t="s">
        <v>38</v>
      </c>
      <c r="I15" s="2"/>
    </row>
    <row r="16" spans="1:9" x14ac:dyDescent="0.25">
      <c r="A16" s="2"/>
      <c r="B16" s="80" t="s">
        <v>40</v>
      </c>
      <c r="C16" s="81"/>
      <c r="D16" s="81"/>
      <c r="E16" s="81"/>
      <c r="F16" s="82"/>
      <c r="G16" s="18">
        <f>($G$13+$G$14)*(1+'Fane 2.1. Økonomisk ramme 2018'!E18/100)*$G$15/100</f>
        <v>2973997.151742754</v>
      </c>
      <c r="H16" s="28" t="s">
        <v>4</v>
      </c>
      <c r="I16" s="2"/>
    </row>
    <row r="17" spans="1:9" x14ac:dyDescent="0.25">
      <c r="A17" s="2"/>
      <c r="B17" s="83" t="s">
        <v>52</v>
      </c>
      <c r="C17" s="84"/>
      <c r="D17" s="84"/>
      <c r="E17" s="84"/>
      <c r="F17" s="85"/>
      <c r="G17" s="21">
        <f>G12+G16</f>
        <v>4730253.1110496232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15</vt:i4>
      </vt:variant>
    </vt:vector>
  </HeadingPairs>
  <TitlesOfParts>
    <vt:vector size="15" baseType="lpstr">
      <vt:lpstr>1. Forside</vt:lpstr>
      <vt:lpstr>Fane 2.1. Økonomisk ramme 2018</vt:lpstr>
      <vt:lpstr>Fane 2.2. Økonomisk ramme 2019</vt:lpstr>
      <vt:lpstr>Fane 2.3. Økonomisk ramme 2020</vt:lpstr>
      <vt:lpstr>Fane 2.4. Økonomisk ramme 2021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Gitte Nørager Larsen</cp:lastModifiedBy>
  <cp:lastPrinted>2016-06-14T12:57:30Z</cp:lastPrinted>
  <dcterms:created xsi:type="dcterms:W3CDTF">2016-06-02T08:51:18Z</dcterms:created>
  <dcterms:modified xsi:type="dcterms:W3CDTF">2018-08-13T11:22:19Z</dcterms:modified>
</cp:coreProperties>
</file>