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11700" tabRatio="746"/>
  </bookViews>
  <sheets>
    <sheet name="1. Forside" sheetId="1" r:id="rId1"/>
    <sheet name="Fane 2. Overblik ØR18-19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7" l="1"/>
  <c r="G25" i="22" l="1"/>
  <c r="G26" i="22" l="1"/>
  <c r="G13" i="10" l="1"/>
  <c r="G11" i="10" l="1"/>
  <c r="G12" i="22"/>
  <c r="G11" i="22"/>
  <c r="G10" i="22"/>
  <c r="F18" i="20"/>
  <c r="F19" i="20" s="1"/>
  <c r="E20" i="22" s="1"/>
  <c r="G20" i="22" s="1"/>
  <c r="F24" i="11" l="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21" l="1"/>
  <c r="D11" i="21"/>
  <c r="F12" i="21" l="1"/>
  <c r="G22" i="22" s="1"/>
  <c r="D12" i="21"/>
  <c r="G21" i="22" s="1"/>
  <c r="F11" i="20"/>
  <c r="F12" i="20" s="1"/>
  <c r="E19" i="22" s="1"/>
  <c r="G19" i="22" s="1"/>
  <c r="D11" i="20"/>
  <c r="D12" i="20" s="1"/>
  <c r="E18" i="22" s="1"/>
  <c r="G18" i="22" l="1"/>
  <c r="E24" i="22"/>
  <c r="E25" i="22"/>
  <c r="G24" i="22" l="1"/>
  <c r="G18" i="19"/>
  <c r="G19" i="19" s="1"/>
  <c r="E15" i="22" s="1"/>
  <c r="G15" i="22" l="1"/>
  <c r="E23" i="22"/>
  <c r="E27" i="22" s="1"/>
  <c r="E15" i="13"/>
  <c r="F11" i="11"/>
  <c r="F25" i="11"/>
  <c r="G23" i="22" l="1"/>
  <c r="G30" i="13"/>
  <c r="E35" i="13" l="1"/>
  <c r="G35" i="13" s="1"/>
  <c r="E27" i="13"/>
  <c r="E19" i="13"/>
  <c r="G11" i="12"/>
  <c r="G23" i="12"/>
  <c r="G17" i="12"/>
  <c r="F10" i="11"/>
  <c r="F26" i="11" s="1"/>
  <c r="G27" i="12" l="1"/>
  <c r="G29" i="12" s="1"/>
  <c r="G16" i="22" s="1"/>
  <c r="G27" i="22" s="1"/>
  <c r="E28" i="13"/>
  <c r="G28" i="13" s="1"/>
  <c r="G36" i="13" s="1"/>
  <c r="G17" i="22" s="1"/>
</calcChain>
</file>

<file path=xl/sharedStrings.xml><?xml version="1.0" encoding="utf-8"?>
<sst xmlns="http://schemas.openxmlformats.org/spreadsheetml/2006/main" count="325" uniqueCount="161">
  <si>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</si>
  <si>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</si>
  <si>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</si>
  <si>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</si>
  <si>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</si>
  <si>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</si>
  <si>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</si>
  <si>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</si>
  <si>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</si>
  <si>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</si>
  <si>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</si>
  <si>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</si>
  <si>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</si>
  <si>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</si>
  <si>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Individuelt effektiviseringskrav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</si>
  <si>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</si>
  <si>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</si>
  <si>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</si>
  <si>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</si>
  <si>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</si>
  <si>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</si>
  <si>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</si>
  <si>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</si>
  <si>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</si>
  <si>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</si>
  <si>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</si>
  <si>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</si>
  <si>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</si>
  <si>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</si>
  <si>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</si>
  <si>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</si>
  <si>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</si>
  <si>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</si>
  <si>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</si>
  <si>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</si>
  <si>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</si>
  <si>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Generelt effektiviseringskrav på drift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</si>
  <si>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</si>
  <si>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</si>
  <si>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</si>
  <si>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</si>
  <si>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</si>
  <si>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</si>
  <si>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</si>
  <si>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</si>
  <si>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</si>
  <si>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</si>
  <si>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</si>
  <si>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</si>
  <si>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</si>
  <si>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</si>
  <si>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</si>
  <si>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</si>
  <si>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</si>
  <si>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</si>
  <si>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</si>
  <si>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</si>
  <si>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</si>
  <si>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</si>
  <si>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</si>
  <si>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</si>
  <si>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</si>
  <si>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</si>
  <si>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</si>
  <si>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</si>
  <si>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</si>
  <si>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</si>
  <si>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</si>
  <si>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</si>
  <si>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</si>
  <si>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</si>
  <si>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</si>
  <si>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</si>
  <si>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</si>
  <si>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</si>
  <si>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</si>
  <si>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</si>
  <si>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</si>
  <si>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</si>
  <si>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</si>
  <si>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</si>
  <si>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</si>
  <si>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</si>
  <si>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</si>
  <si>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</si>
  <si>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</si>
  <si>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</si>
  <si>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</si>
  <si>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</si>
  <si>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</si>
  <si>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</si>
  <si>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</si>
  <si>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</si>
  <si>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</si>
  <si>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</si>
  <si>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</si>
  <si>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2019 og frem</t>
  </si>
  <si>
    <t>Korrigeret grundlag til brug for den økonomiske ramme for 2019 og frem  (i 2017-niveau)</t>
  </si>
  <si>
    <t>Fane 2: Overblik over økonomiske rammer for 2018-2019</t>
  </si>
  <si>
    <t>Bemærk, at den økonomiske ramme for 2019 kun er vejledende.</t>
  </si>
  <si>
    <t>Tidligere fastsat økonomisk ramme</t>
  </si>
  <si>
    <t>-</t>
  </si>
  <si>
    <t>Korrektion af ikke-påvirkelig omkostning</t>
  </si>
  <si>
    <t>Korrektion i forhold til tidligere indtægtsramme i prisloft 2016</t>
  </si>
  <si>
    <t>Nye tillæg - driftsomkostninger</t>
  </si>
  <si>
    <t>Nye tillæg - anlægsomkostninger</t>
  </si>
  <si>
    <t>Bortfald eller nedsættelse - driftsomkostninger</t>
  </si>
  <si>
    <t>Korrigeret økonomiske ramme</t>
  </si>
  <si>
    <t>Prisudvikling og generelt krav anvendt i de økonomiske rammer for 2018-2019</t>
  </si>
  <si>
    <t>Fane 2</t>
  </si>
  <si>
    <t>Overblik over økonomiske ramme for 2018 og 2019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</si>
  <si>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</si>
  <si>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</si>
  <si>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</si>
  <si>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</si>
  <si>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</si>
  <si>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</si>
  <si>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Til statusmeddelelse udmeldt i 2017</t>
  </si>
  <si>
    <t>Boring (inkl. etablering, forerør, filter og prøvepumpning)</t>
  </si>
  <si>
    <t>Beluftningsanlæg, iltningstrappe, Mek./EL</t>
  </si>
  <si>
    <t>Skyllevandsbehandling, inkl. UV-filter mv., SRO</t>
  </si>
  <si>
    <t>Ø 50mm &lt; Ledningsnet ≤ Ø110 mm</t>
  </si>
  <si>
    <t>Ø110 mm &lt; Ledningsnet ≤ Ø 250 mm</t>
  </si>
  <si>
    <t>Stik på ledningsnet, Konstruktioner</t>
  </si>
  <si>
    <t>Ventiler på ledningsnet ≤ Ø50 mm</t>
  </si>
  <si>
    <t>Ventiler på Ø110 mm &lt; Ledningsnet ≤ Ø 250 mm</t>
  </si>
  <si>
    <t>Afregningsmålere, elektroniske ≤ Ø 110mm (Qn 10)</t>
  </si>
  <si>
    <t>Inspektionsbrønd, Konstruktioner</t>
  </si>
  <si>
    <t>Skelbrønd, Mek./EL</t>
  </si>
  <si>
    <t>SRO-brønd/kvarterbrønd/sektionsbrønd, SRO</t>
  </si>
  <si>
    <t>Køretøjer, store lastvogne (&gt; 3.500 kg.)</t>
  </si>
  <si>
    <t>Køretøjer, små lastvogne (&lt; 3.500 kg.)</t>
  </si>
  <si>
    <t>Arbejdsplads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</si>
  <si>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</si>
  <si>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</si>
  <si>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</si>
  <si>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</si>
  <si>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</si>
  <si>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</si>
  <si>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</si>
  <si>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</si>
  <si>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Nye ikke-påvirkelige omkostninger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</si>
  <si>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</si>
  <si>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</si>
  <si>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</si>
  <si>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</si>
  <si>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</si>
  <si>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2019 i alt</t>
  </si>
  <si>
    <t>Niveau for prisudvikling beregnet til brug for økonomisk ramme for 2018</t>
  </si>
  <si>
    <t>Individuelt effektiviseringskrav stillet til de økonomiske rammer for 2017 og 2018</t>
  </si>
  <si>
    <t>Generelt effektiviseringskrav på anlæg forventet til økonomisk ramme for 2019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</si>
  <si>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</si>
  <si>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</si>
  <si>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</si>
  <si>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</si>
  <si>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Intet bortfald</t>
  </si>
  <si>
    <t>Ingen nye ikke-påvirkelige omkostninger i år</t>
  </si>
  <si>
    <t>Tidligere stillet effektiviseringskrav på anlæg</t>
  </si>
  <si>
    <t>Tidligere stillet effektiviseringskrav på drift</t>
  </si>
  <si>
    <t>Beskrivelse af ikke-påvirkelig omkostning</t>
  </si>
  <si>
    <t>- Heraf miljø- og servicemål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</si>
</sst>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0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/>
    <xf numFmtId="3" fontId="8" fillId="4" borderId="1" xfId="0" applyNumberFormat="1" applyFont="1" applyFill="1" applyBorder="1" applyAlignment="1" applyProtection="1">
      <alignment wrapText="1"/>
    </xf>
    <xf numFmtId="3" fontId="8" fillId="4" borderId="1" xfId="0" quotePrefix="1" applyNumberFormat="1" applyFont="1" applyFill="1" applyBorder="1" applyAlignment="1" applyProtection="1">
      <alignment horizontal="center" wrapText="1"/>
    </xf>
    <xf numFmtId="3" fontId="7" fillId="3" borderId="10" xfId="0" applyNumberFormat="1" applyFont="1" applyFill="1" applyBorder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10" fillId="4" borderId="1" xfId="0" applyNumberFormat="1" applyFont="1" applyFill="1" applyBorder="1" applyProtection="1"/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3" fontId="8" fillId="9" borderId="1" xfId="1" applyNumberFormat="1" applyFont="1" applyFill="1" applyBorder="1" applyAlignment="1" applyProtection="1"/>
    <xf numFmtId="49" fontId="8" fillId="9" borderId="2" xfId="0" applyNumberFormat="1" applyFont="1" applyFill="1" applyBorder="1" applyAlignment="1" applyProtection="1">
      <alignment horizontal="left" wrapText="1"/>
    </xf>
    <xf numFmtId="3" fontId="8" fillId="9" borderId="1" xfId="0" applyNumberFormat="1" applyFont="1" applyFill="1" applyBorder="1" applyAlignment="1" applyProtection="1"/>
    <xf numFmtId="49" fontId="8" fillId="9" borderId="2" xfId="0" applyNumberFormat="1" applyFont="1" applyFill="1" applyBorder="1" applyAlignment="1" applyProtection="1"/>
    <xf numFmtId="49" fontId="8" fillId="9" borderId="10" xfId="0" applyNumberFormat="1" applyFont="1" applyFill="1" applyBorder="1" applyAlignment="1" applyProtection="1"/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8" fillId="9" borderId="2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</xf>
    <xf numFmtId="49" fontId="8" fillId="9" borderId="3" xfId="0" applyNumberFormat="1" applyFont="1" applyFill="1" applyBorder="1" applyAlignment="1" applyProtection="1">
      <alignment horizontal="left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31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56" t="s">
        <v>5</v>
      </c>
      <c r="E6" s="56"/>
      <c r="F6" s="56"/>
      <c r="G6" s="56"/>
      <c r="H6" s="4"/>
      <c r="I6" s="2"/>
    </row>
    <row r="7" spans="1:9" ht="15" customHeight="1" x14ac:dyDescent="0.25">
      <c r="A7" s="2"/>
      <c r="B7" s="2"/>
      <c r="C7" s="4"/>
      <c r="D7" s="56"/>
      <c r="E7" s="56"/>
      <c r="F7" s="56"/>
      <c r="G7" s="56"/>
      <c r="H7" s="4"/>
      <c r="I7" s="2"/>
    </row>
    <row r="8" spans="1:9" ht="15.75" x14ac:dyDescent="0.25">
      <c r="A8" s="2"/>
      <c r="B8" s="2"/>
      <c r="C8" s="5"/>
      <c r="D8" s="61" t="s">
        <v>117</v>
      </c>
      <c r="E8" s="61"/>
      <c r="F8" s="61"/>
      <c r="G8" s="61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0" t="s">
        <v>6</v>
      </c>
      <c r="E11" s="60"/>
      <c r="F11" s="60"/>
      <c r="G11" s="60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109</v>
      </c>
      <c r="D13" s="68" t="s">
        <v>110</v>
      </c>
      <c r="E13" s="69"/>
      <c r="F13" s="69"/>
      <c r="G13" s="70"/>
      <c r="H13" s="2"/>
      <c r="I13" s="2"/>
    </row>
    <row r="14" spans="1:9" x14ac:dyDescent="0.25">
      <c r="A14" s="2"/>
      <c r="B14" s="2"/>
      <c r="C14" s="7" t="s">
        <v>7</v>
      </c>
      <c r="D14" s="62" t="s">
        <v>50</v>
      </c>
      <c r="E14" s="63"/>
      <c r="F14" s="63"/>
      <c r="G14" s="64"/>
      <c r="H14" s="2"/>
      <c r="I14" s="2"/>
    </row>
    <row r="15" spans="1:9" x14ac:dyDescent="0.25">
      <c r="A15" s="2"/>
      <c r="B15" s="2"/>
      <c r="C15" s="7" t="s">
        <v>8</v>
      </c>
      <c r="D15" s="62" t="s">
        <v>43</v>
      </c>
      <c r="E15" s="63"/>
      <c r="F15" s="63"/>
      <c r="G15" s="64"/>
      <c r="H15" s="2"/>
      <c r="I15" s="2"/>
    </row>
    <row r="16" spans="1:9" x14ac:dyDescent="0.25">
      <c r="A16" s="2"/>
      <c r="B16" s="2"/>
      <c r="C16" s="7" t="s">
        <v>9</v>
      </c>
      <c r="D16" s="65" t="s">
        <v>16</v>
      </c>
      <c r="E16" s="66"/>
      <c r="F16" s="66"/>
      <c r="G16" s="67"/>
      <c r="H16" s="2"/>
      <c r="I16" s="2"/>
    </row>
    <row r="17" spans="1:9" x14ac:dyDescent="0.25">
      <c r="A17" s="2"/>
      <c r="B17" s="2"/>
      <c r="C17" s="7" t="s">
        <v>10</v>
      </c>
      <c r="D17" s="57" t="s">
        <v>53</v>
      </c>
      <c r="E17" s="58"/>
      <c r="F17" s="58"/>
      <c r="G17" s="59"/>
      <c r="H17" s="2"/>
      <c r="I17" s="2"/>
    </row>
    <row r="18" spans="1:9" x14ac:dyDescent="0.25">
      <c r="A18" s="2"/>
      <c r="B18" s="2"/>
      <c r="C18" s="7" t="s">
        <v>11</v>
      </c>
      <c r="D18" s="57" t="s">
        <v>71</v>
      </c>
      <c r="E18" s="58"/>
      <c r="F18" s="58"/>
      <c r="G18" s="59"/>
      <c r="H18" s="2"/>
      <c r="I18" s="2"/>
    </row>
    <row r="19" spans="1:9" x14ac:dyDescent="0.25">
      <c r="A19" s="2"/>
      <c r="B19" s="2"/>
      <c r="C19" s="7" t="s">
        <v>12</v>
      </c>
      <c r="D19" s="50" t="s">
        <v>92</v>
      </c>
      <c r="E19" s="51"/>
      <c r="F19" s="51"/>
      <c r="G19" s="52"/>
      <c r="H19" s="2"/>
      <c r="I19" s="2"/>
    </row>
    <row r="20" spans="1:9" x14ac:dyDescent="0.25">
      <c r="A20" s="2"/>
      <c r="B20" s="2"/>
      <c r="C20" s="7" t="s">
        <v>13</v>
      </c>
      <c r="D20" s="53" t="s">
        <v>52</v>
      </c>
      <c r="E20" s="54"/>
      <c r="F20" s="54"/>
      <c r="G20" s="55"/>
      <c r="H20" s="2"/>
      <c r="I20" s="2"/>
    </row>
    <row r="21" spans="1:9" x14ac:dyDescent="0.25">
      <c r="A21" s="2"/>
      <c r="B21" s="2"/>
      <c r="C21" s="7" t="s">
        <v>48</v>
      </c>
      <c r="D21" s="53" t="s">
        <v>51</v>
      </c>
      <c r="E21" s="54"/>
      <c r="F21" s="54"/>
      <c r="G21" s="55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4:G14" location="'Fane 3. Korrigeret grundlag'!A1" display="Korrektion af grundlag"/>
    <hyperlink ref="D15:G15" location="'Fane 4. Ikke-påvirkelige omk.'!A1" display="Ikke-påvirkelige omkostninger"/>
    <hyperlink ref="D20:G20" location="'Fane 9. Tillæg'!A1" display="Tillæg"/>
    <hyperlink ref="D21:G21" location="'Fane 10. Bortfald'!A1" display="Bortfald af omkostninger"/>
    <hyperlink ref="D13:G13" location="'Fane 2. Overblik ØR18-19'!A1" display="Overblik over økonomiske ramme for 2018 og 2019"/>
    <hyperlink ref="D19:G19" location="'Fane 8. Kontrol af PL2016'!A1" display="Kontrol af prisloft 2016"/>
    <hyperlink ref="D18:G18" location="'Fane 7. Korrektion af PL2016'!A1" display="Korrektion af prisloft 2016"/>
    <hyperlink ref="D17:G17" location="'Fane 6. Gen. inv. i 2016'!A1" display="Gennemførte investeringer i 2016"/>
    <hyperlink ref="D16:G16" location="'Fane 5. Hist. over el. underdæk'!A1" display="Historisk over- eller underdæknin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6" t="s">
        <v>116</v>
      </c>
      <c r="C3" s="86"/>
      <c r="D3" s="86"/>
      <c r="E3" s="86"/>
      <c r="F3" s="86"/>
      <c r="G3" s="86"/>
      <c r="H3" s="2"/>
    </row>
    <row r="4" spans="1:8" ht="25.5" customHeight="1" x14ac:dyDescent="0.25">
      <c r="A4" s="2"/>
      <c r="B4" s="86"/>
      <c r="C4" s="86"/>
      <c r="D4" s="86"/>
      <c r="E4" s="86"/>
      <c r="F4" s="86"/>
      <c r="G4" s="86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83" t="s">
        <v>79</v>
      </c>
      <c r="C8" s="84"/>
      <c r="D8" s="84"/>
      <c r="E8" s="84"/>
      <c r="F8" s="84"/>
      <c r="G8" s="85"/>
      <c r="H8" s="2"/>
    </row>
    <row r="9" spans="1:8" ht="29.25" customHeight="1" x14ac:dyDescent="0.25">
      <c r="A9" s="2"/>
      <c r="B9" s="26" t="s">
        <v>80</v>
      </c>
      <c r="C9" s="27"/>
      <c r="D9" s="90" t="s">
        <v>42</v>
      </c>
      <c r="E9" s="90"/>
      <c r="F9" s="90" t="s">
        <v>83</v>
      </c>
      <c r="G9" s="90"/>
      <c r="H9" s="2"/>
    </row>
    <row r="10" spans="1:8" x14ac:dyDescent="0.25">
      <c r="A10" s="2"/>
      <c r="B10" s="48" t="s">
        <v>155</v>
      </c>
      <c r="C10" s="49"/>
      <c r="D10" s="9">
        <v>0</v>
      </c>
      <c r="E10" s="17" t="s">
        <v>4</v>
      </c>
      <c r="F10" s="9">
        <v>0</v>
      </c>
      <c r="G10" s="17" t="s">
        <v>4</v>
      </c>
      <c r="H10" s="2"/>
    </row>
    <row r="11" spans="1:8" x14ac:dyDescent="0.25">
      <c r="A11" s="2"/>
      <c r="B11" s="83" t="s">
        <v>84</v>
      </c>
      <c r="C11" s="85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83" t="s">
        <v>94</v>
      </c>
      <c r="C12" s="85"/>
      <c r="D12" s="15">
        <f>D11*(1+'Fane 2. Overblik ØR18-19'!E30/100)</f>
        <v>0</v>
      </c>
      <c r="E12" s="16" t="s">
        <v>4</v>
      </c>
      <c r="F12" s="15">
        <f>F11*(1+'Fane 2. Overblik ØR18-19'!E30/100)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K33"/>
  <sheetViews>
    <sheetView showGridLines="0" view="pageLayout" zoomScaleNormal="100" workbookViewId="0"/>
  </sheetViews>
  <sheetFormatPr defaultColWidth="9.140625" defaultRowHeight="15" x14ac:dyDescent="0.25"/>
  <cols>
    <col min="1" max="1" width="13.5703125" style="3" customWidth="1"/>
    <col min="2" max="3" width="9.140625" style="3"/>
    <col min="4" max="4" width="38.7109375" style="3" customWidth="1"/>
    <col min="5" max="5" width="10.5703125" style="3" customWidth="1"/>
    <col min="6" max="6" width="4.42578125" style="3" customWidth="1"/>
    <col min="7" max="7" width="10.5703125" style="3" customWidth="1"/>
    <col min="8" max="8" width="3.28515625" style="3" customWidth="1"/>
    <col min="9" max="9" width="10.42578125" style="3" customWidth="1"/>
    <col min="10" max="10" width="3.28515625" style="3" customWidth="1"/>
    <col min="11" max="16384" width="9.140625" style="3"/>
  </cols>
  <sheetData>
    <row r="1" spans="1:1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" customHeight="1" x14ac:dyDescent="0.25">
      <c r="A3" s="2"/>
      <c r="B3" s="74" t="s">
        <v>98</v>
      </c>
      <c r="C3" s="74"/>
      <c r="D3" s="74"/>
      <c r="E3" s="74"/>
      <c r="F3" s="74"/>
      <c r="G3" s="74"/>
      <c r="H3" s="74"/>
      <c r="I3" s="74"/>
      <c r="J3" s="74"/>
      <c r="K3" s="2"/>
    </row>
    <row r="4" spans="1:11" ht="15" customHeight="1" x14ac:dyDescent="0.25">
      <c r="A4" s="2"/>
      <c r="B4" s="74"/>
      <c r="C4" s="74"/>
      <c r="D4" s="74"/>
      <c r="E4" s="74"/>
      <c r="F4" s="74"/>
      <c r="G4" s="74"/>
      <c r="H4" s="74"/>
      <c r="I4" s="74"/>
      <c r="J4" s="74"/>
      <c r="K4" s="2"/>
    </row>
    <row r="5" spans="1:11" x14ac:dyDescent="0.25">
      <c r="A5" s="2"/>
      <c r="B5" s="75" t="s">
        <v>99</v>
      </c>
      <c r="C5" s="75"/>
      <c r="D5" s="75"/>
      <c r="E5" s="75"/>
      <c r="F5" s="75"/>
      <c r="G5" s="75"/>
      <c r="H5" s="75"/>
      <c r="I5" s="75"/>
      <c r="J5" s="75"/>
      <c r="K5" s="2"/>
    </row>
    <row r="6" spans="1:1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x14ac:dyDescent="0.25">
      <c r="A8" s="2"/>
      <c r="B8" s="28"/>
      <c r="C8" s="29"/>
      <c r="D8" s="29"/>
      <c r="E8" s="29">
        <v>2018</v>
      </c>
      <c r="F8" s="30"/>
      <c r="G8" s="29">
        <v>2019</v>
      </c>
      <c r="H8" s="30"/>
      <c r="I8" s="2"/>
      <c r="J8" s="2"/>
      <c r="K8" s="2"/>
    </row>
    <row r="9" spans="1:11" ht="15" customHeight="1" x14ac:dyDescent="0.25">
      <c r="A9" s="2"/>
      <c r="B9" s="76" t="s">
        <v>100</v>
      </c>
      <c r="C9" s="77"/>
      <c r="D9" s="78"/>
      <c r="E9" s="35">
        <v>60729623.153228037</v>
      </c>
      <c r="F9" s="13" t="s">
        <v>4</v>
      </c>
      <c r="G9" s="36" t="s">
        <v>101</v>
      </c>
      <c r="H9" s="13" t="s">
        <v>4</v>
      </c>
      <c r="I9" s="2"/>
      <c r="J9" s="2"/>
      <c r="K9" s="2"/>
    </row>
    <row r="10" spans="1:11" x14ac:dyDescent="0.25">
      <c r="A10" s="2"/>
      <c r="B10" s="79" t="s">
        <v>72</v>
      </c>
      <c r="C10" s="72"/>
      <c r="D10" s="73"/>
      <c r="E10" s="31" t="s">
        <v>101</v>
      </c>
      <c r="F10" s="8" t="s">
        <v>4</v>
      </c>
      <c r="G10" s="32">
        <f>'Fane 3. Korrigeret grundlag'!G9*(1+'Fane 2. Overblik ØR18-19'!E30/100)</f>
        <v>21376201.555334784</v>
      </c>
      <c r="H10" s="8" t="s">
        <v>4</v>
      </c>
      <c r="I10" s="2"/>
      <c r="J10" s="2"/>
      <c r="K10" s="2"/>
    </row>
    <row r="11" spans="1:11" x14ac:dyDescent="0.25">
      <c r="A11" s="2"/>
      <c r="B11" s="43" t="s">
        <v>73</v>
      </c>
      <c r="C11" s="41"/>
      <c r="D11" s="42"/>
      <c r="E11" s="31" t="s">
        <v>101</v>
      </c>
      <c r="F11" s="8" t="s">
        <v>4</v>
      </c>
      <c r="G11" s="32">
        <f>'Fane 3. Korrigeret grundlag'!G11*(1+'Fane 2. Overblik ØR18-19'!E30/100)</f>
        <v>22875987.401276805</v>
      </c>
      <c r="H11" s="8" t="s">
        <v>4</v>
      </c>
      <c r="I11" s="2"/>
      <c r="J11" s="2"/>
      <c r="K11" s="2"/>
    </row>
    <row r="12" spans="1:11" x14ac:dyDescent="0.25">
      <c r="A12" s="2"/>
      <c r="B12" s="43" t="s">
        <v>90</v>
      </c>
      <c r="C12" s="41"/>
      <c r="D12" s="42"/>
      <c r="E12" s="31" t="s">
        <v>101</v>
      </c>
      <c r="F12" s="8" t="s">
        <v>4</v>
      </c>
      <c r="G12" s="32">
        <f>'Fane 3. Korrigeret grundlag'!G12*(1+'Fane 2. Overblik ØR18-19'!E30/100)</f>
        <v>18779401.189025536</v>
      </c>
      <c r="H12" s="8" t="s">
        <v>4</v>
      </c>
      <c r="I12" s="2"/>
      <c r="J12" s="2"/>
      <c r="K12" s="2"/>
    </row>
    <row r="13" spans="1:11" x14ac:dyDescent="0.25">
      <c r="A13" s="2"/>
      <c r="B13" s="43" t="s">
        <v>158</v>
      </c>
      <c r="C13" s="41"/>
      <c r="D13" s="42"/>
      <c r="E13" s="31" t="s">
        <v>101</v>
      </c>
      <c r="F13" s="8" t="s">
        <v>4</v>
      </c>
      <c r="G13" s="32">
        <v>-1424358.8296508985</v>
      </c>
      <c r="H13" s="8" t="s">
        <v>4</v>
      </c>
      <c r="I13" s="2"/>
      <c r="J13" s="2"/>
      <c r="K13" s="2"/>
    </row>
    <row r="14" spans="1:11" x14ac:dyDescent="0.25">
      <c r="A14" s="2"/>
      <c r="B14" s="43" t="s">
        <v>157</v>
      </c>
      <c r="C14" s="41"/>
      <c r="D14" s="42"/>
      <c r="E14" s="31" t="s">
        <v>101</v>
      </c>
      <c r="F14" s="8" t="s">
        <v>4</v>
      </c>
      <c r="G14" s="32">
        <v>-983445.06180429808</v>
      </c>
      <c r="H14" s="8" t="s">
        <v>4</v>
      </c>
      <c r="I14" s="2"/>
      <c r="J14" s="2"/>
      <c r="K14" s="2"/>
    </row>
    <row r="15" spans="1:11" x14ac:dyDescent="0.25">
      <c r="A15" s="2"/>
      <c r="B15" s="79" t="s">
        <v>102</v>
      </c>
      <c r="C15" s="72"/>
      <c r="D15" s="73"/>
      <c r="E15" s="32">
        <f>'Fane 4. Ikke-påvirkelige omk.'!G19</f>
        <v>118759.55645399996</v>
      </c>
      <c r="F15" s="8" t="s">
        <v>4</v>
      </c>
      <c r="G15" s="33">
        <f>E15*(1+E30/100)</f>
        <v>120837.84869194496</v>
      </c>
      <c r="H15" s="8" t="s">
        <v>4</v>
      </c>
      <c r="I15" s="2"/>
      <c r="J15" s="2"/>
      <c r="K15" s="2"/>
    </row>
    <row r="16" spans="1:11" x14ac:dyDescent="0.25">
      <c r="A16" s="2"/>
      <c r="B16" s="79" t="s">
        <v>71</v>
      </c>
      <c r="C16" s="72"/>
      <c r="D16" s="73"/>
      <c r="E16" s="31" t="s">
        <v>101</v>
      </c>
      <c r="F16" s="8" t="s">
        <v>4</v>
      </c>
      <c r="G16" s="33">
        <f>SUM('Fane 7. Korrektion af PL2016'!G11,'Fane 7. Korrektion af PL2016'!G17,'Fane 7. Korrektion af PL2016'!G23,'Fane 7. Korrektion af PL2016'!G29)</f>
        <v>99619.728000000119</v>
      </c>
      <c r="H16" s="8" t="s">
        <v>4</v>
      </c>
      <c r="I16" s="2"/>
      <c r="J16" s="2"/>
      <c r="K16" s="2"/>
    </row>
    <row r="17" spans="1:11" x14ac:dyDescent="0.25">
      <c r="A17" s="2"/>
      <c r="B17" s="79" t="s">
        <v>103</v>
      </c>
      <c r="C17" s="72"/>
      <c r="D17" s="73"/>
      <c r="E17" s="31" t="s">
        <v>101</v>
      </c>
      <c r="F17" s="8" t="s">
        <v>4</v>
      </c>
      <c r="G17" s="32">
        <f>'Fane 8. Kontrol af PL2016'!G36</f>
        <v>1454642.5649167746</v>
      </c>
      <c r="H17" s="8" t="s">
        <v>4</v>
      </c>
      <c r="I17" s="2"/>
      <c r="J17" s="2"/>
      <c r="K17" s="2"/>
    </row>
    <row r="18" spans="1:11" x14ac:dyDescent="0.25">
      <c r="A18" s="2"/>
      <c r="B18" s="71" t="s">
        <v>104</v>
      </c>
      <c r="C18" s="72"/>
      <c r="D18" s="73"/>
      <c r="E18" s="32">
        <f>'Fane 9. Tillæg'!D12</f>
        <v>0</v>
      </c>
      <c r="F18" s="8" t="s">
        <v>4</v>
      </c>
      <c r="G18" s="32">
        <f>E18*(1+E30/100)*(1-E32/100)</f>
        <v>0</v>
      </c>
      <c r="H18" s="8" t="s">
        <v>4</v>
      </c>
      <c r="I18" s="2"/>
      <c r="J18" s="2"/>
      <c r="K18" s="2"/>
    </row>
    <row r="19" spans="1:11" x14ac:dyDescent="0.25">
      <c r="A19" s="2"/>
      <c r="B19" s="71" t="s">
        <v>105</v>
      </c>
      <c r="C19" s="72"/>
      <c r="D19" s="73"/>
      <c r="E19" s="33">
        <f>'Fane 9. Tillæg'!F12</f>
        <v>0</v>
      </c>
      <c r="F19" s="8" t="s">
        <v>4</v>
      </c>
      <c r="G19" s="33">
        <f>E19*(1+E30/100)*(1-E33/100)</f>
        <v>0</v>
      </c>
      <c r="H19" s="8" t="s">
        <v>4</v>
      </c>
      <c r="I19" s="2"/>
      <c r="J19" s="2"/>
      <c r="K19" s="2"/>
    </row>
    <row r="20" spans="1:11" x14ac:dyDescent="0.25">
      <c r="A20" s="2"/>
      <c r="B20" s="40" t="s">
        <v>141</v>
      </c>
      <c r="C20" s="41"/>
      <c r="D20" s="42"/>
      <c r="E20" s="33">
        <f>'Fane 9. Tillæg'!F19</f>
        <v>0</v>
      </c>
      <c r="F20" s="8" t="s">
        <v>4</v>
      </c>
      <c r="G20" s="33">
        <f>E20*(1+E30/100)</f>
        <v>0</v>
      </c>
      <c r="H20" s="8" t="s">
        <v>4</v>
      </c>
      <c r="I20" s="2"/>
      <c r="J20" s="2"/>
      <c r="K20" s="2"/>
    </row>
    <row r="21" spans="1:11" x14ac:dyDescent="0.25">
      <c r="A21" s="2"/>
      <c r="B21" s="71" t="s">
        <v>106</v>
      </c>
      <c r="C21" s="72"/>
      <c r="D21" s="73"/>
      <c r="E21" s="31" t="s">
        <v>101</v>
      </c>
      <c r="F21" s="8" t="s">
        <v>4</v>
      </c>
      <c r="G21" s="32">
        <f>'Fane 10. Bortfald'!D12</f>
        <v>0</v>
      </c>
      <c r="H21" s="8" t="s">
        <v>4</v>
      </c>
      <c r="I21" s="2"/>
      <c r="J21" s="2"/>
      <c r="K21" s="2"/>
    </row>
    <row r="22" spans="1:11" x14ac:dyDescent="0.25">
      <c r="A22" s="2"/>
      <c r="B22" s="71" t="s">
        <v>106</v>
      </c>
      <c r="C22" s="72"/>
      <c r="D22" s="73"/>
      <c r="E22" s="31" t="s">
        <v>101</v>
      </c>
      <c r="F22" s="8" t="s">
        <v>4</v>
      </c>
      <c r="G22" s="32">
        <f>'Fane 10. Bortfald'!F12</f>
        <v>0</v>
      </c>
      <c r="H22" s="8" t="s">
        <v>4</v>
      </c>
      <c r="I22" s="2"/>
      <c r="J22" s="2"/>
      <c r="K22" s="2"/>
    </row>
    <row r="23" spans="1:11" x14ac:dyDescent="0.25">
      <c r="A23" s="2"/>
      <c r="B23" s="71" t="s">
        <v>49</v>
      </c>
      <c r="C23" s="72"/>
      <c r="D23" s="73"/>
      <c r="E23" s="32">
        <f>SUM(E15:E20)*E30/100</f>
        <v>2078.2922379449992</v>
      </c>
      <c r="F23" s="8" t="s">
        <v>4</v>
      </c>
      <c r="G23" s="32">
        <f>SUM(G10:G15,G18:G22)*$E$30/100</f>
        <v>1063030.9218002928</v>
      </c>
      <c r="H23" s="8" t="s">
        <v>4</v>
      </c>
      <c r="I23" s="2"/>
      <c r="J23" s="2"/>
      <c r="K23" s="2"/>
    </row>
    <row r="24" spans="1:11" x14ac:dyDescent="0.25">
      <c r="A24" s="2"/>
      <c r="B24" s="71" t="s">
        <v>15</v>
      </c>
      <c r="C24" s="72"/>
      <c r="D24" s="73"/>
      <c r="E24" s="32">
        <f>-SUM(E18)*(1+E30/100)*$E$32/100-E19*(1+E30/100)*$E$33/100</f>
        <v>0</v>
      </c>
      <c r="F24" s="8" t="s">
        <v>4</v>
      </c>
      <c r="G24" s="32">
        <f>-(G10+G18+G21+G13)*(1+E30/100)*$E$32/100-(G11+G19+G22+G14)*(1+E30/100)*E33/100</f>
        <v>-800299.21386598214</v>
      </c>
      <c r="H24" s="8" t="s">
        <v>4</v>
      </c>
      <c r="I24" s="2"/>
      <c r="J24" s="2"/>
      <c r="K24" s="2"/>
    </row>
    <row r="25" spans="1:11" x14ac:dyDescent="0.25">
      <c r="A25" s="2"/>
      <c r="B25" s="71" t="s">
        <v>14</v>
      </c>
      <c r="C25" s="72"/>
      <c r="D25" s="73"/>
      <c r="E25" s="32">
        <f>-(SUM(E18:E19))*(1+E30)*$E$31/100</f>
        <v>0</v>
      </c>
      <c r="F25" s="8" t="s">
        <v>4</v>
      </c>
      <c r="G25" s="32">
        <f>-(SUM(G10:G11)-'Fane 3. Korrigeret grundlag'!G10*(1-0.02)+SUM(G13:G14)+SUM(G18:G19)+SUM(G21:G22))*(1+E30/100)*$E$31/100</f>
        <v>-558637.53510263609</v>
      </c>
      <c r="H25" s="8" t="s">
        <v>4</v>
      </c>
      <c r="I25" s="2"/>
      <c r="J25" s="2"/>
      <c r="K25" s="2"/>
    </row>
    <row r="26" spans="1:11" x14ac:dyDescent="0.25">
      <c r="A26" s="2"/>
      <c r="B26" s="71" t="s">
        <v>16</v>
      </c>
      <c r="C26" s="72"/>
      <c r="D26" s="73"/>
      <c r="E26" s="31" t="s">
        <v>101</v>
      </c>
      <c r="F26" s="8" t="s">
        <v>4</v>
      </c>
      <c r="G26" s="32">
        <f>'Fane 5. Hist. over el. underdæk'!G13</f>
        <v>0</v>
      </c>
      <c r="H26" s="8" t="s">
        <v>4</v>
      </c>
      <c r="I26" s="2"/>
      <c r="J26" s="2"/>
      <c r="K26" s="2"/>
    </row>
    <row r="27" spans="1:11" x14ac:dyDescent="0.25">
      <c r="A27" s="2"/>
      <c r="B27" s="28" t="s">
        <v>107</v>
      </c>
      <c r="C27" s="29"/>
      <c r="D27" s="29"/>
      <c r="E27" s="34">
        <f>SUM(E9:E25)</f>
        <v>60850461.001919985</v>
      </c>
      <c r="F27" s="29" t="s">
        <v>4</v>
      </c>
      <c r="G27" s="37">
        <f>SUM(G10:G26)</f>
        <v>62002980.568622328</v>
      </c>
      <c r="H27" s="30" t="s">
        <v>4</v>
      </c>
      <c r="I27" s="2"/>
      <c r="J27" s="2"/>
      <c r="K27" s="2"/>
    </row>
    <row r="28" spans="1:1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25">
      <c r="A29" s="2"/>
      <c r="B29" s="28" t="s">
        <v>108</v>
      </c>
      <c r="C29" s="29"/>
      <c r="D29" s="29"/>
      <c r="E29" s="29"/>
      <c r="F29" s="30"/>
      <c r="G29" s="2"/>
      <c r="H29" s="2"/>
      <c r="I29" s="2"/>
      <c r="J29" s="2"/>
      <c r="K29" s="2"/>
    </row>
    <row r="30" spans="1:11" ht="15" customHeight="1" x14ac:dyDescent="0.25">
      <c r="A30" s="2"/>
      <c r="B30" s="71" t="s">
        <v>148</v>
      </c>
      <c r="C30" s="72"/>
      <c r="D30" s="73"/>
      <c r="E30" s="38">
        <v>1.75</v>
      </c>
      <c r="F30" s="8" t="s">
        <v>35</v>
      </c>
      <c r="G30" s="2"/>
      <c r="H30" s="2"/>
      <c r="I30" s="2"/>
      <c r="J30" s="2"/>
      <c r="K30" s="2"/>
    </row>
    <row r="31" spans="1:11" ht="15" customHeight="1" x14ac:dyDescent="0.25">
      <c r="A31" s="2"/>
      <c r="B31" s="71" t="s">
        <v>149</v>
      </c>
      <c r="C31" s="72"/>
      <c r="D31" s="73"/>
      <c r="E31" s="38">
        <v>1.4071329976797171</v>
      </c>
      <c r="F31" s="8" t="s">
        <v>35</v>
      </c>
      <c r="G31" s="2"/>
      <c r="H31" s="2"/>
      <c r="I31" s="2"/>
      <c r="J31" s="2"/>
      <c r="K31" s="2"/>
    </row>
    <row r="32" spans="1:11" ht="15" customHeight="1" x14ac:dyDescent="0.25">
      <c r="A32" s="2"/>
      <c r="B32" s="71" t="s">
        <v>36</v>
      </c>
      <c r="C32" s="72"/>
      <c r="D32" s="73"/>
      <c r="E32" s="38">
        <v>2</v>
      </c>
      <c r="F32" s="8" t="s">
        <v>35</v>
      </c>
      <c r="G32" s="2"/>
      <c r="H32" s="2"/>
      <c r="I32" s="2"/>
      <c r="J32" s="2"/>
      <c r="K32" s="2"/>
    </row>
    <row r="33" spans="1:11" ht="15" customHeight="1" x14ac:dyDescent="0.25">
      <c r="A33" s="2"/>
      <c r="B33" s="71" t="s">
        <v>150</v>
      </c>
      <c r="C33" s="72"/>
      <c r="D33" s="73"/>
      <c r="E33" s="38">
        <v>1.77</v>
      </c>
      <c r="F33" s="8" t="s">
        <v>35</v>
      </c>
      <c r="G33" s="2"/>
      <c r="H33" s="2"/>
      <c r="I33" s="2"/>
      <c r="J33" s="2"/>
      <c r="K33" s="2"/>
    </row>
  </sheetData>
  <sheetProtection password="DFE9" sheet="1" objects="1" scenarios="1"/>
  <mergeCells count="19">
    <mergeCell ref="B23:D23"/>
    <mergeCell ref="B3:J4"/>
    <mergeCell ref="B5:J5"/>
    <mergeCell ref="B9:D9"/>
    <mergeCell ref="B10:D10"/>
    <mergeCell ref="B15:D15"/>
    <mergeCell ref="B16:D16"/>
    <mergeCell ref="B17:D17"/>
    <mergeCell ref="B18:D18"/>
    <mergeCell ref="B19:D19"/>
    <mergeCell ref="B21:D21"/>
    <mergeCell ref="B22:D22"/>
    <mergeCell ref="B33:D33"/>
    <mergeCell ref="B24:D24"/>
    <mergeCell ref="B25:D25"/>
    <mergeCell ref="B30:D30"/>
    <mergeCell ref="B31:D31"/>
    <mergeCell ref="B32:D32"/>
    <mergeCell ref="B26:D2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6" t="s">
        <v>96</v>
      </c>
      <c r="C3" s="86"/>
      <c r="D3" s="86"/>
      <c r="E3" s="86"/>
      <c r="F3" s="86"/>
      <c r="G3" s="86"/>
      <c r="H3" s="86"/>
      <c r="I3" s="2"/>
    </row>
    <row r="4" spans="1:9" ht="29.25" customHeight="1" x14ac:dyDescent="0.25">
      <c r="A4" s="2"/>
      <c r="B4" s="86"/>
      <c r="C4" s="86"/>
      <c r="D4" s="86"/>
      <c r="E4" s="86"/>
      <c r="F4" s="86"/>
      <c r="G4" s="86"/>
      <c r="H4" s="86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97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71" t="s">
        <v>72</v>
      </c>
      <c r="C9" s="72"/>
      <c r="D9" s="72"/>
      <c r="E9" s="72"/>
      <c r="F9" s="73"/>
      <c r="G9" s="9">
        <v>21008551.897134922</v>
      </c>
      <c r="H9" s="17" t="s">
        <v>4</v>
      </c>
      <c r="I9" s="2"/>
    </row>
    <row r="10" spans="1:9" x14ac:dyDescent="0.25">
      <c r="A10" s="2"/>
      <c r="B10" s="79" t="s">
        <v>160</v>
      </c>
      <c r="C10" s="72"/>
      <c r="D10" s="72"/>
      <c r="E10" s="72"/>
      <c r="F10" s="73"/>
      <c r="G10" s="9">
        <v>2884474.9895187216</v>
      </c>
      <c r="H10" s="17" t="s">
        <v>4</v>
      </c>
      <c r="I10" s="2"/>
    </row>
    <row r="11" spans="1:9" x14ac:dyDescent="0.25">
      <c r="A11" s="2"/>
      <c r="B11" s="71" t="s">
        <v>73</v>
      </c>
      <c r="C11" s="72"/>
      <c r="D11" s="72"/>
      <c r="E11" s="72"/>
      <c r="F11" s="73"/>
      <c r="G11" s="9">
        <v>22482542.900517743</v>
      </c>
      <c r="H11" s="17" t="s">
        <v>4</v>
      </c>
      <c r="I11" s="2"/>
    </row>
    <row r="12" spans="1:9" x14ac:dyDescent="0.25">
      <c r="A12" s="2"/>
      <c r="B12" s="71" t="s">
        <v>90</v>
      </c>
      <c r="C12" s="72"/>
      <c r="D12" s="72"/>
      <c r="E12" s="72"/>
      <c r="F12" s="73"/>
      <c r="G12" s="9">
        <v>18456413.94498824</v>
      </c>
      <c r="H12" s="17" t="s">
        <v>4</v>
      </c>
      <c r="I12" s="2"/>
    </row>
    <row r="13" spans="1:9" ht="17.25" customHeight="1" x14ac:dyDescent="0.25">
      <c r="A13" s="2"/>
      <c r="B13" s="80" t="s">
        <v>93</v>
      </c>
      <c r="C13" s="81"/>
      <c r="D13" s="81"/>
      <c r="E13" s="81"/>
      <c r="F13" s="82"/>
      <c r="G13" s="15">
        <f>SUM($G$9,$G$11:$G$12)</f>
        <v>61947508.742640898</v>
      </c>
      <c r="H13" s="16" t="s">
        <v>4</v>
      </c>
      <c r="I13" s="2"/>
    </row>
    <row r="14" spans="1:9" x14ac:dyDescent="0.25">
      <c r="A14" s="2"/>
      <c r="B14" s="18"/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44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88</v>
      </c>
      <c r="C16" s="18"/>
      <c r="D16" s="18"/>
      <c r="E16" s="18"/>
      <c r="F16" s="18"/>
      <c r="G16" s="18"/>
      <c r="H16" s="18"/>
      <c r="I16" s="2"/>
    </row>
    <row r="17" spans="1:9" x14ac:dyDescent="0.25">
      <c r="A17" s="2"/>
      <c r="B17" s="19" t="s">
        <v>89</v>
      </c>
      <c r="C17" s="2"/>
      <c r="D17" s="2"/>
      <c r="E17" s="2"/>
      <c r="F17" s="2"/>
      <c r="G17" s="18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</sheetData>
  <sheetProtection password="DFE9" sheet="1" objects="1" scenarios="1"/>
  <mergeCells count="7">
    <mergeCell ref="B13:F13"/>
    <mergeCell ref="B8:H8"/>
    <mergeCell ref="B3:H4"/>
    <mergeCell ref="B12:F12"/>
    <mergeCell ref="B11:F11"/>
    <mergeCell ref="B9:F9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74" t="s">
        <v>74</v>
      </c>
      <c r="C3" s="74"/>
      <c r="D3" s="74"/>
      <c r="E3" s="74"/>
      <c r="F3" s="74"/>
      <c r="G3" s="74"/>
      <c r="H3" s="74"/>
      <c r="I3" s="2"/>
    </row>
    <row r="4" spans="1:9" ht="15" customHeight="1" x14ac:dyDescent="0.25">
      <c r="A4" s="2"/>
      <c r="B4" s="74"/>
      <c r="C4" s="74"/>
      <c r="D4" s="74"/>
      <c r="E4" s="74"/>
      <c r="F4" s="74"/>
      <c r="G4" s="74"/>
      <c r="H4" s="7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75</v>
      </c>
      <c r="C8" s="84"/>
      <c r="D8" s="84"/>
      <c r="E8" s="84"/>
      <c r="F8" s="84"/>
      <c r="G8" s="84"/>
      <c r="H8" s="85"/>
      <c r="I8" s="2"/>
    </row>
    <row r="9" spans="1:9" ht="51.75" customHeight="1" x14ac:dyDescent="0.25">
      <c r="A9" s="2"/>
      <c r="B9" s="76" t="s">
        <v>77</v>
      </c>
      <c r="C9" s="77"/>
      <c r="D9" s="78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71" t="s">
        <v>133</v>
      </c>
      <c r="C10" s="72"/>
      <c r="D10" s="72"/>
      <c r="E10" s="45">
        <v>0</v>
      </c>
      <c r="F10" s="17" t="s">
        <v>4</v>
      </c>
      <c r="G10" s="9">
        <v>0</v>
      </c>
      <c r="H10" s="17" t="s">
        <v>4</v>
      </c>
      <c r="I10" s="2"/>
    </row>
    <row r="11" spans="1:9" x14ac:dyDescent="0.25">
      <c r="A11" s="2"/>
      <c r="B11" s="71" t="s">
        <v>134</v>
      </c>
      <c r="C11" s="72"/>
      <c r="D11" s="72"/>
      <c r="E11" s="45">
        <v>256182.79199999999</v>
      </c>
      <c r="F11" s="17" t="s">
        <v>4</v>
      </c>
      <c r="G11" s="9">
        <v>258329</v>
      </c>
      <c r="H11" s="17" t="s">
        <v>4</v>
      </c>
      <c r="I11" s="2"/>
    </row>
    <row r="12" spans="1:9" x14ac:dyDescent="0.25">
      <c r="A12" s="2"/>
      <c r="B12" s="71" t="s">
        <v>135</v>
      </c>
      <c r="C12" s="72"/>
      <c r="D12" s="72"/>
      <c r="E12" s="45">
        <v>53459.080600000001</v>
      </c>
      <c r="F12" s="17" t="s">
        <v>4</v>
      </c>
      <c r="G12" s="9">
        <v>751851</v>
      </c>
      <c r="H12" s="17" t="s">
        <v>4</v>
      </c>
      <c r="I12" s="2"/>
    </row>
    <row r="13" spans="1:9" x14ac:dyDescent="0.25">
      <c r="A13" s="2"/>
      <c r="B13" s="71" t="s">
        <v>136</v>
      </c>
      <c r="C13" s="72"/>
      <c r="D13" s="72"/>
      <c r="E13" s="45">
        <v>32399.4126</v>
      </c>
      <c r="F13" s="17" t="s">
        <v>4</v>
      </c>
      <c r="G13" s="9">
        <v>64274</v>
      </c>
      <c r="H13" s="17" t="s">
        <v>4</v>
      </c>
      <c r="I13" s="2"/>
    </row>
    <row r="14" spans="1:9" x14ac:dyDescent="0.25">
      <c r="A14" s="2"/>
      <c r="B14" s="71" t="s">
        <v>137</v>
      </c>
      <c r="C14" s="72"/>
      <c r="D14" s="72"/>
      <c r="E14" s="45">
        <v>17870591.715799998</v>
      </c>
      <c r="F14" s="17" t="s">
        <v>4</v>
      </c>
      <c r="G14" s="9">
        <v>17256988</v>
      </c>
      <c r="H14" s="17" t="s">
        <v>4</v>
      </c>
      <c r="I14" s="2"/>
    </row>
    <row r="15" spans="1:9" x14ac:dyDescent="0.25">
      <c r="A15" s="2"/>
      <c r="B15" s="71" t="s">
        <v>138</v>
      </c>
      <c r="C15" s="72"/>
      <c r="D15" s="72"/>
      <c r="E15" s="45">
        <v>0</v>
      </c>
      <c r="F15" s="17" t="s">
        <v>4</v>
      </c>
      <c r="G15" s="9">
        <v>0</v>
      </c>
      <c r="H15" s="17" t="s">
        <v>4</v>
      </c>
      <c r="I15" s="2"/>
    </row>
    <row r="16" spans="1:9" x14ac:dyDescent="0.25">
      <c r="A16" s="2"/>
      <c r="B16" s="71" t="s">
        <v>139</v>
      </c>
      <c r="C16" s="72"/>
      <c r="D16" s="72"/>
      <c r="E16" s="45">
        <v>12323.9902</v>
      </c>
      <c r="F16" s="17" t="s">
        <v>4</v>
      </c>
      <c r="G16" s="9">
        <v>10232</v>
      </c>
      <c r="H16" s="17" t="s">
        <v>4</v>
      </c>
      <c r="I16" s="2"/>
    </row>
    <row r="17" spans="1:9" x14ac:dyDescent="0.25">
      <c r="A17" s="2"/>
      <c r="B17" s="71" t="s">
        <v>140</v>
      </c>
      <c r="C17" s="72"/>
      <c r="D17" s="72"/>
      <c r="E17" s="45">
        <v>0</v>
      </c>
      <c r="F17" s="17" t="s">
        <v>4</v>
      </c>
      <c r="G17" s="9">
        <v>0</v>
      </c>
      <c r="H17" s="17" t="s">
        <v>4</v>
      </c>
      <c r="I17" s="2"/>
    </row>
    <row r="18" spans="1:9" x14ac:dyDescent="0.25">
      <c r="A18" s="2"/>
      <c r="B18" s="83" t="s">
        <v>86</v>
      </c>
      <c r="C18" s="84"/>
      <c r="D18" s="84"/>
      <c r="E18" s="84"/>
      <c r="F18" s="85"/>
      <c r="G18" s="15">
        <f>SUM(G10:G17)-SUM(E10:E17)</f>
        <v>116717.00879999995</v>
      </c>
      <c r="H18" s="16" t="s">
        <v>4</v>
      </c>
      <c r="I18" s="2"/>
    </row>
    <row r="19" spans="1:9" x14ac:dyDescent="0.25">
      <c r="A19" s="2"/>
      <c r="B19" s="83" t="s">
        <v>87</v>
      </c>
      <c r="C19" s="84"/>
      <c r="D19" s="84"/>
      <c r="E19" s="84"/>
      <c r="F19" s="85"/>
      <c r="G19" s="15">
        <f>G18*(1+'Fane 2. Overblik ØR18-19'!E30/100)</f>
        <v>118759.55645399996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74" t="s">
        <v>111</v>
      </c>
      <c r="C3" s="74"/>
      <c r="D3" s="74"/>
      <c r="E3" s="74"/>
      <c r="F3" s="74"/>
      <c r="G3" s="74"/>
      <c r="H3" s="74"/>
      <c r="I3" s="2"/>
    </row>
    <row r="4" spans="1:9" ht="15" customHeight="1" x14ac:dyDescent="0.25">
      <c r="A4" s="2"/>
      <c r="B4" s="74"/>
      <c r="C4" s="74"/>
      <c r="D4" s="74"/>
      <c r="E4" s="74"/>
      <c r="F4" s="74"/>
      <c r="G4" s="74"/>
      <c r="H4" s="7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45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71" t="s">
        <v>38</v>
      </c>
      <c r="C9" s="72"/>
      <c r="D9" s="72"/>
      <c r="E9" s="72"/>
      <c r="F9" s="73"/>
      <c r="G9" s="9">
        <v>7670000</v>
      </c>
      <c r="H9" s="17" t="s">
        <v>4</v>
      </c>
      <c r="I9" s="2"/>
    </row>
    <row r="10" spans="1:9" x14ac:dyDescent="0.25">
      <c r="A10" s="2"/>
      <c r="B10" s="71" t="s">
        <v>81</v>
      </c>
      <c r="C10" s="72"/>
      <c r="D10" s="72"/>
      <c r="E10" s="72"/>
      <c r="F10" s="73"/>
      <c r="G10" s="9">
        <v>7670000</v>
      </c>
      <c r="H10" s="17" t="s">
        <v>4</v>
      </c>
      <c r="I10" s="2"/>
    </row>
    <row r="11" spans="1:9" x14ac:dyDescent="0.25">
      <c r="A11" s="2"/>
      <c r="B11" s="87" t="s">
        <v>41</v>
      </c>
      <c r="C11" s="88"/>
      <c r="D11" s="88"/>
      <c r="E11" s="88"/>
      <c r="F11" s="89"/>
      <c r="G11" s="39">
        <f>G9-G10</f>
        <v>0</v>
      </c>
      <c r="H11" s="21" t="s">
        <v>4</v>
      </c>
      <c r="I11" s="2"/>
    </row>
    <row r="12" spans="1:9" x14ac:dyDescent="0.25">
      <c r="A12" s="2"/>
      <c r="B12" s="71" t="s">
        <v>39</v>
      </c>
      <c r="C12" s="72"/>
      <c r="D12" s="72"/>
      <c r="E12" s="72"/>
      <c r="F12" s="73"/>
      <c r="G12" s="9">
        <v>0</v>
      </c>
      <c r="H12" s="17" t="s">
        <v>82</v>
      </c>
      <c r="I12" s="2"/>
    </row>
    <row r="13" spans="1:9" x14ac:dyDescent="0.25">
      <c r="A13" s="2"/>
      <c r="B13" s="83" t="s">
        <v>37</v>
      </c>
      <c r="C13" s="84"/>
      <c r="D13" s="84"/>
      <c r="E13" s="84"/>
      <c r="F13" s="85"/>
      <c r="G13" s="15">
        <f>IF(G12 = 0,0,G11/G12)</f>
        <v>0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30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74" t="s">
        <v>112</v>
      </c>
      <c r="C3" s="74"/>
      <c r="D3" s="74"/>
      <c r="E3" s="74"/>
      <c r="F3" s="74"/>
      <c r="G3" s="74"/>
      <c r="H3" s="2"/>
    </row>
    <row r="4" spans="1:8" ht="15" customHeight="1" x14ac:dyDescent="0.25">
      <c r="A4" s="2"/>
      <c r="B4" s="74"/>
      <c r="C4" s="74"/>
      <c r="D4" s="74"/>
      <c r="E4" s="74"/>
      <c r="F4" s="74"/>
      <c r="G4" s="7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83" t="s">
        <v>53</v>
      </c>
      <c r="C8" s="84"/>
      <c r="D8" s="84"/>
      <c r="E8" s="84"/>
      <c r="F8" s="84"/>
      <c r="G8" s="85"/>
      <c r="H8" s="2"/>
    </row>
    <row r="9" spans="1:8" ht="39" customHeight="1" x14ac:dyDescent="0.25">
      <c r="A9" s="2"/>
      <c r="B9" s="44" t="s">
        <v>0</v>
      </c>
      <c r="C9" s="13" t="s">
        <v>1</v>
      </c>
      <c r="D9" s="44" t="s">
        <v>2</v>
      </c>
      <c r="E9" s="44" t="s">
        <v>40</v>
      </c>
      <c r="F9" s="90" t="s">
        <v>3</v>
      </c>
      <c r="G9" s="90"/>
      <c r="H9" s="2"/>
    </row>
    <row r="10" spans="1:8" ht="26.25" x14ac:dyDescent="0.25">
      <c r="A10" s="2"/>
      <c r="B10" s="46" t="s">
        <v>118</v>
      </c>
      <c r="C10" s="22">
        <v>2016</v>
      </c>
      <c r="D10" s="22">
        <v>30</v>
      </c>
      <c r="E10" s="9">
        <v>2496728</v>
      </c>
      <c r="F10" s="9">
        <f>E10/D10</f>
        <v>83224.266666666663</v>
      </c>
      <c r="G10" s="17" t="s">
        <v>4</v>
      </c>
      <c r="H10" s="2"/>
    </row>
    <row r="11" spans="1:8" x14ac:dyDescent="0.25">
      <c r="A11" s="2"/>
      <c r="B11" s="46" t="s">
        <v>119</v>
      </c>
      <c r="C11" s="22">
        <v>2016</v>
      </c>
      <c r="D11" s="22">
        <v>25</v>
      </c>
      <c r="E11" s="9">
        <v>3045680.2</v>
      </c>
      <c r="F11" s="9">
        <f t="shared" ref="F11:F25" si="0">E11/D11</f>
        <v>121827.20800000001</v>
      </c>
      <c r="G11" s="17" t="s">
        <v>4</v>
      </c>
      <c r="H11" s="2"/>
    </row>
    <row r="12" spans="1:8" ht="26.25" x14ac:dyDescent="0.25">
      <c r="A12" s="2"/>
      <c r="B12" s="46" t="s">
        <v>120</v>
      </c>
      <c r="C12" s="22">
        <v>2016</v>
      </c>
      <c r="D12" s="22">
        <v>10</v>
      </c>
      <c r="E12" s="9">
        <v>731018.6</v>
      </c>
      <c r="F12" s="9">
        <f t="shared" si="0"/>
        <v>73101.86</v>
      </c>
      <c r="G12" s="17" t="s">
        <v>4</v>
      </c>
      <c r="H12" s="2"/>
    </row>
    <row r="13" spans="1:8" x14ac:dyDescent="0.25">
      <c r="A13" s="2"/>
      <c r="B13" s="46" t="s">
        <v>121</v>
      </c>
      <c r="C13" s="22">
        <v>2016</v>
      </c>
      <c r="D13" s="22">
        <v>75</v>
      </c>
      <c r="E13" s="9">
        <v>7441904</v>
      </c>
      <c r="F13" s="9">
        <f t="shared" si="0"/>
        <v>99225.386666666673</v>
      </c>
      <c r="G13" s="17" t="s">
        <v>4</v>
      </c>
      <c r="H13" s="2"/>
    </row>
    <row r="14" spans="1:8" x14ac:dyDescent="0.25">
      <c r="A14" s="2"/>
      <c r="B14" s="46" t="s">
        <v>122</v>
      </c>
      <c r="C14" s="22">
        <v>2016</v>
      </c>
      <c r="D14" s="22">
        <v>75</v>
      </c>
      <c r="E14" s="9">
        <v>1254896</v>
      </c>
      <c r="F14" s="9">
        <f t="shared" si="0"/>
        <v>16731.946666666667</v>
      </c>
      <c r="G14" s="17" t="s">
        <v>4</v>
      </c>
      <c r="H14" s="2"/>
    </row>
    <row r="15" spans="1:8" x14ac:dyDescent="0.25">
      <c r="A15" s="2"/>
      <c r="B15" s="46" t="s">
        <v>123</v>
      </c>
      <c r="C15" s="22">
        <v>2016</v>
      </c>
      <c r="D15" s="22">
        <v>75</v>
      </c>
      <c r="E15" s="9">
        <v>2268476</v>
      </c>
      <c r="F15" s="9">
        <f t="shared" si="0"/>
        <v>30246.346666666668</v>
      </c>
      <c r="G15" s="17" t="s">
        <v>4</v>
      </c>
      <c r="H15" s="2"/>
    </row>
    <row r="16" spans="1:8" x14ac:dyDescent="0.25">
      <c r="A16" s="2"/>
      <c r="B16" s="46" t="s">
        <v>124</v>
      </c>
      <c r="C16" s="22">
        <v>2016</v>
      </c>
      <c r="D16" s="22">
        <v>75</v>
      </c>
      <c r="E16" s="9">
        <v>964299</v>
      </c>
      <c r="F16" s="9">
        <f t="shared" si="0"/>
        <v>12857.32</v>
      </c>
      <c r="G16" s="17" t="s">
        <v>4</v>
      </c>
      <c r="H16" s="2"/>
    </row>
    <row r="17" spans="1:8" x14ac:dyDescent="0.25">
      <c r="A17" s="2"/>
      <c r="B17" s="46" t="s">
        <v>124</v>
      </c>
      <c r="C17" s="22">
        <v>2016</v>
      </c>
      <c r="D17" s="22">
        <v>75</v>
      </c>
      <c r="E17" s="9">
        <v>891963</v>
      </c>
      <c r="F17" s="9">
        <f t="shared" si="0"/>
        <v>11892.84</v>
      </c>
      <c r="G17" s="17" t="s">
        <v>4</v>
      </c>
      <c r="H17" s="2"/>
    </row>
    <row r="18" spans="1:8" x14ac:dyDescent="0.25">
      <c r="A18" s="2"/>
      <c r="B18" s="46" t="s">
        <v>125</v>
      </c>
      <c r="C18" s="22">
        <v>2016</v>
      </c>
      <c r="D18" s="22">
        <v>75</v>
      </c>
      <c r="E18" s="9">
        <v>160000</v>
      </c>
      <c r="F18" s="9">
        <f t="shared" si="0"/>
        <v>2133.3333333333335</v>
      </c>
      <c r="G18" s="17" t="s">
        <v>4</v>
      </c>
      <c r="H18" s="2"/>
    </row>
    <row r="19" spans="1:8" ht="26.25" x14ac:dyDescent="0.25">
      <c r="A19" s="2"/>
      <c r="B19" s="46" t="s">
        <v>126</v>
      </c>
      <c r="C19" s="22">
        <v>2016</v>
      </c>
      <c r="D19" s="22">
        <v>10</v>
      </c>
      <c r="E19" s="9">
        <v>17935935</v>
      </c>
      <c r="F19" s="9">
        <f t="shared" si="0"/>
        <v>1793593.5</v>
      </c>
      <c r="G19" s="17" t="s">
        <v>4</v>
      </c>
      <c r="H19" s="2"/>
    </row>
    <row r="20" spans="1:8" x14ac:dyDescent="0.25">
      <c r="A20" s="2"/>
      <c r="B20" s="46" t="s">
        <v>127</v>
      </c>
      <c r="C20" s="22">
        <v>2016</v>
      </c>
      <c r="D20" s="22">
        <v>50</v>
      </c>
      <c r="E20" s="9">
        <v>1513996</v>
      </c>
      <c r="F20" s="9">
        <f t="shared" si="0"/>
        <v>30279.919999999998</v>
      </c>
      <c r="G20" s="17" t="s">
        <v>4</v>
      </c>
      <c r="H20" s="2"/>
    </row>
    <row r="21" spans="1:8" x14ac:dyDescent="0.25">
      <c r="A21" s="2"/>
      <c r="B21" s="46" t="s">
        <v>128</v>
      </c>
      <c r="C21" s="22">
        <v>2016</v>
      </c>
      <c r="D21" s="22">
        <v>15</v>
      </c>
      <c r="E21" s="9">
        <v>252333</v>
      </c>
      <c r="F21" s="9">
        <f t="shared" si="0"/>
        <v>16822.2</v>
      </c>
      <c r="G21" s="17" t="s">
        <v>4</v>
      </c>
      <c r="H21" s="2"/>
    </row>
    <row r="22" spans="1:8" x14ac:dyDescent="0.25">
      <c r="A22" s="2"/>
      <c r="B22" s="46" t="s">
        <v>129</v>
      </c>
      <c r="C22" s="22">
        <v>2016</v>
      </c>
      <c r="D22" s="22">
        <v>10</v>
      </c>
      <c r="E22" s="9">
        <v>756998</v>
      </c>
      <c r="F22" s="9">
        <f t="shared" si="0"/>
        <v>75699.8</v>
      </c>
      <c r="G22" s="17" t="s">
        <v>4</v>
      </c>
      <c r="H22" s="2"/>
    </row>
    <row r="23" spans="1:8" x14ac:dyDescent="0.25">
      <c r="A23" s="2"/>
      <c r="B23" s="46" t="s">
        <v>130</v>
      </c>
      <c r="C23" s="22">
        <v>2016</v>
      </c>
      <c r="D23" s="22">
        <v>5</v>
      </c>
      <c r="E23" s="9">
        <v>1943760</v>
      </c>
      <c r="F23" s="9">
        <f t="shared" si="0"/>
        <v>388752</v>
      </c>
      <c r="G23" s="17" t="s">
        <v>4</v>
      </c>
      <c r="H23" s="2"/>
    </row>
    <row r="24" spans="1:8" x14ac:dyDescent="0.25">
      <c r="A24" s="2"/>
      <c r="B24" s="46" t="s">
        <v>131</v>
      </c>
      <c r="C24" s="22">
        <v>2016</v>
      </c>
      <c r="D24" s="22">
        <v>5</v>
      </c>
      <c r="E24" s="9">
        <v>287131</v>
      </c>
      <c r="F24" s="9">
        <f t="shared" si="0"/>
        <v>57426.2</v>
      </c>
      <c r="G24" s="17" t="s">
        <v>4</v>
      </c>
      <c r="H24" s="2"/>
    </row>
    <row r="25" spans="1:8" x14ac:dyDescent="0.25">
      <c r="A25" s="2"/>
      <c r="B25" s="46" t="s">
        <v>132</v>
      </c>
      <c r="C25" s="22">
        <v>2016</v>
      </c>
      <c r="D25" s="22">
        <v>5</v>
      </c>
      <c r="E25" s="9">
        <v>410318</v>
      </c>
      <c r="F25" s="9">
        <f t="shared" si="0"/>
        <v>82063.600000000006</v>
      </c>
      <c r="G25" s="17" t="s">
        <v>4</v>
      </c>
      <c r="H25" s="2"/>
    </row>
    <row r="26" spans="1:8" x14ac:dyDescent="0.25">
      <c r="A26" s="2"/>
      <c r="B26" s="83" t="s">
        <v>54</v>
      </c>
      <c r="C26" s="84"/>
      <c r="D26" s="84"/>
      <c r="E26" s="85"/>
      <c r="F26" s="15">
        <f>SUM(F10:F25)</f>
        <v>2895877.7280000001</v>
      </c>
      <c r="G26" s="16" t="s">
        <v>4</v>
      </c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</sheetData>
  <sheetProtection password="DFE9" sheet="1" objects="1" scenarios="1"/>
  <mergeCells count="4">
    <mergeCell ref="B26:E26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38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86" t="s">
        <v>113</v>
      </c>
      <c r="C3" s="86"/>
      <c r="D3" s="86"/>
      <c r="E3" s="86"/>
      <c r="F3" s="86"/>
      <c r="G3" s="86"/>
      <c r="H3" s="86"/>
      <c r="I3" s="2"/>
    </row>
    <row r="4" spans="1:9" ht="15" customHeight="1" x14ac:dyDescent="0.25">
      <c r="A4" s="2"/>
      <c r="B4" s="86"/>
      <c r="C4" s="86"/>
      <c r="D4" s="86"/>
      <c r="E4" s="86"/>
      <c r="F4" s="86"/>
      <c r="G4" s="86"/>
      <c r="H4" s="86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0" t="s">
        <v>151</v>
      </c>
      <c r="C8" s="81"/>
      <c r="D8" s="81"/>
      <c r="E8" s="81"/>
      <c r="F8" s="81"/>
      <c r="G8" s="81"/>
      <c r="H8" s="82"/>
      <c r="I8" s="2"/>
    </row>
    <row r="9" spans="1:9" x14ac:dyDescent="0.25">
      <c r="A9" s="2"/>
      <c r="B9" s="71" t="s">
        <v>55</v>
      </c>
      <c r="C9" s="72"/>
      <c r="D9" s="72"/>
      <c r="E9" s="72"/>
      <c r="F9" s="73"/>
      <c r="G9" s="9">
        <v>18531674</v>
      </c>
      <c r="H9" s="17" t="s">
        <v>4</v>
      </c>
      <c r="I9" s="2"/>
    </row>
    <row r="10" spans="1:9" x14ac:dyDescent="0.25">
      <c r="A10" s="2"/>
      <c r="B10" s="71" t="s">
        <v>56</v>
      </c>
      <c r="C10" s="72"/>
      <c r="D10" s="72"/>
      <c r="E10" s="72"/>
      <c r="F10" s="73"/>
      <c r="G10" s="9">
        <v>17859500</v>
      </c>
      <c r="H10" s="17" t="s">
        <v>4</v>
      </c>
      <c r="I10" s="2"/>
    </row>
    <row r="11" spans="1:9" x14ac:dyDescent="0.25">
      <c r="A11" s="2"/>
      <c r="B11" s="83" t="s">
        <v>152</v>
      </c>
      <c r="C11" s="84"/>
      <c r="D11" s="84"/>
      <c r="E11" s="84"/>
      <c r="F11" s="85"/>
      <c r="G11" s="15">
        <f>G9-G10</f>
        <v>672174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0" t="s">
        <v>153</v>
      </c>
      <c r="C14" s="81"/>
      <c r="D14" s="81"/>
      <c r="E14" s="81"/>
      <c r="F14" s="81"/>
      <c r="G14" s="81"/>
      <c r="H14" s="82"/>
      <c r="I14" s="2"/>
    </row>
    <row r="15" spans="1:9" x14ac:dyDescent="0.25">
      <c r="A15" s="2"/>
      <c r="B15" s="71" t="s">
        <v>57</v>
      </c>
      <c r="C15" s="72"/>
      <c r="D15" s="72"/>
      <c r="E15" s="72"/>
      <c r="F15" s="73"/>
      <c r="G15" s="9">
        <v>135935</v>
      </c>
      <c r="H15" s="17" t="s">
        <v>4</v>
      </c>
      <c r="I15" s="2"/>
    </row>
    <row r="16" spans="1:9" x14ac:dyDescent="0.25">
      <c r="A16" s="2"/>
      <c r="B16" s="71" t="s">
        <v>58</v>
      </c>
      <c r="C16" s="72"/>
      <c r="D16" s="72"/>
      <c r="E16" s="72"/>
      <c r="F16" s="73"/>
      <c r="G16" s="9">
        <v>100000</v>
      </c>
      <c r="H16" s="17" t="s">
        <v>4</v>
      </c>
      <c r="I16" s="2"/>
    </row>
    <row r="17" spans="1:9" x14ac:dyDescent="0.25">
      <c r="A17" s="2"/>
      <c r="B17" s="83" t="s">
        <v>153</v>
      </c>
      <c r="C17" s="84"/>
      <c r="D17" s="84"/>
      <c r="E17" s="84"/>
      <c r="F17" s="85"/>
      <c r="G17" s="15">
        <f>G15-G16</f>
        <v>35935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0" t="s">
        <v>154</v>
      </c>
      <c r="C20" s="81"/>
      <c r="D20" s="81"/>
      <c r="E20" s="81"/>
      <c r="F20" s="81"/>
      <c r="G20" s="81"/>
      <c r="H20" s="82"/>
      <c r="I20" s="2"/>
    </row>
    <row r="21" spans="1:9" x14ac:dyDescent="0.25">
      <c r="A21" s="2"/>
      <c r="B21" s="71" t="s">
        <v>59</v>
      </c>
      <c r="C21" s="72"/>
      <c r="D21" s="72"/>
      <c r="E21" s="72"/>
      <c r="F21" s="73"/>
      <c r="G21" s="9">
        <v>2163833</v>
      </c>
      <c r="H21" s="17" t="s">
        <v>4</v>
      </c>
      <c r="I21" s="2"/>
    </row>
    <row r="22" spans="1:9" x14ac:dyDescent="0.25">
      <c r="A22" s="2"/>
      <c r="B22" s="71" t="s">
        <v>60</v>
      </c>
      <c r="C22" s="72"/>
      <c r="D22" s="72"/>
      <c r="E22" s="72"/>
      <c r="F22" s="73"/>
      <c r="G22" s="9">
        <v>2713000</v>
      </c>
      <c r="H22" s="17" t="s">
        <v>4</v>
      </c>
      <c r="I22" s="2"/>
    </row>
    <row r="23" spans="1:9" x14ac:dyDescent="0.25">
      <c r="A23" s="2"/>
      <c r="B23" s="83" t="s">
        <v>154</v>
      </c>
      <c r="C23" s="84"/>
      <c r="D23" s="84"/>
      <c r="E23" s="84"/>
      <c r="F23" s="85"/>
      <c r="G23" s="15">
        <f>G21-G22</f>
        <v>-549167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x14ac:dyDescent="0.25">
      <c r="A26" s="2"/>
      <c r="B26" s="80" t="s">
        <v>61</v>
      </c>
      <c r="C26" s="81"/>
      <c r="D26" s="81"/>
      <c r="E26" s="81"/>
      <c r="F26" s="81"/>
      <c r="G26" s="81"/>
      <c r="H26" s="82"/>
      <c r="I26" s="2"/>
    </row>
    <row r="27" spans="1:9" x14ac:dyDescent="0.25">
      <c r="A27" s="2"/>
      <c r="B27" s="71" t="s">
        <v>62</v>
      </c>
      <c r="C27" s="72"/>
      <c r="D27" s="72"/>
      <c r="E27" s="72"/>
      <c r="F27" s="73"/>
      <c r="G27" s="9">
        <f>'Fane 6. Gen. inv. i 2016'!F26</f>
        <v>2895877.7280000001</v>
      </c>
      <c r="H27" s="17" t="s">
        <v>4</v>
      </c>
      <c r="I27" s="2"/>
    </row>
    <row r="28" spans="1:9" x14ac:dyDescent="0.25">
      <c r="A28" s="2"/>
      <c r="B28" s="71" t="s">
        <v>63</v>
      </c>
      <c r="C28" s="72"/>
      <c r="D28" s="72"/>
      <c r="E28" s="72"/>
      <c r="F28" s="73"/>
      <c r="G28" s="9">
        <v>2955200</v>
      </c>
      <c r="H28" s="17" t="s">
        <v>4</v>
      </c>
      <c r="I28" s="2"/>
    </row>
    <row r="29" spans="1:9" x14ac:dyDescent="0.25">
      <c r="A29" s="2"/>
      <c r="B29" s="83" t="s">
        <v>61</v>
      </c>
      <c r="C29" s="84"/>
      <c r="D29" s="84"/>
      <c r="E29" s="84"/>
      <c r="F29" s="85"/>
      <c r="G29" s="15">
        <f>G27-G28</f>
        <v>-59322.271999999881</v>
      </c>
      <c r="H29" s="16" t="s">
        <v>4</v>
      </c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</sheetData>
  <sheetProtection password="DFE9" sheet="1" objects="1" scenarios="1"/>
  <mergeCells count="17">
    <mergeCell ref="B21:F21"/>
    <mergeCell ref="B22:F22"/>
    <mergeCell ref="B28:F28"/>
    <mergeCell ref="B29:F29"/>
    <mergeCell ref="B23:F23"/>
    <mergeCell ref="B26:H26"/>
    <mergeCell ref="B27:F27"/>
    <mergeCell ref="B14:H14"/>
    <mergeCell ref="B15:F15"/>
    <mergeCell ref="B16:F16"/>
    <mergeCell ref="B17:F17"/>
    <mergeCell ref="B20:H20"/>
    <mergeCell ref="B3:H4"/>
    <mergeCell ref="B8:H8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86" t="s">
        <v>114</v>
      </c>
      <c r="C3" s="86"/>
      <c r="D3" s="86"/>
      <c r="E3" s="86"/>
      <c r="F3" s="86"/>
      <c r="G3" s="86"/>
      <c r="H3" s="86"/>
      <c r="I3" s="2"/>
    </row>
    <row r="4" spans="1:9" ht="15" customHeight="1" x14ac:dyDescent="0.25">
      <c r="A4" s="2"/>
      <c r="B4" s="86"/>
      <c r="C4" s="86"/>
      <c r="D4" s="86"/>
      <c r="E4" s="86"/>
      <c r="F4" s="86"/>
      <c r="G4" s="86"/>
      <c r="H4" s="86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83" t="s">
        <v>64</v>
      </c>
      <c r="C8" s="84"/>
      <c r="D8" s="84"/>
      <c r="E8" s="84"/>
      <c r="F8" s="84"/>
      <c r="G8" s="84"/>
      <c r="H8" s="85"/>
      <c r="I8" s="2"/>
    </row>
    <row r="9" spans="1:9" x14ac:dyDescent="0.25">
      <c r="A9" s="2"/>
      <c r="B9" s="94" t="s">
        <v>65</v>
      </c>
      <c r="C9" s="95"/>
      <c r="D9" s="95"/>
      <c r="E9" s="95"/>
      <c r="F9" s="96"/>
      <c r="G9" s="12">
        <v>67771348.364916772</v>
      </c>
      <c r="H9" s="20" t="s">
        <v>4</v>
      </c>
      <c r="I9" s="2"/>
    </row>
    <row r="10" spans="1:9" x14ac:dyDescent="0.25">
      <c r="A10" s="2"/>
      <c r="B10" s="83" t="s">
        <v>66</v>
      </c>
      <c r="C10" s="84"/>
      <c r="D10" s="84"/>
      <c r="E10" s="84"/>
      <c r="F10" s="84"/>
      <c r="G10" s="84"/>
      <c r="H10" s="85"/>
      <c r="I10" s="2"/>
    </row>
    <row r="11" spans="1:9" x14ac:dyDescent="0.25">
      <c r="A11" s="2"/>
      <c r="B11" s="71" t="s">
        <v>17</v>
      </c>
      <c r="C11" s="72"/>
      <c r="D11" s="73"/>
      <c r="E11" s="9">
        <v>13079090</v>
      </c>
      <c r="F11" s="17" t="s">
        <v>4</v>
      </c>
      <c r="G11" s="14"/>
      <c r="H11" s="23"/>
      <c r="I11" s="2"/>
    </row>
    <row r="12" spans="1:9" x14ac:dyDescent="0.25">
      <c r="A12" s="2"/>
      <c r="B12" s="71" t="s">
        <v>67</v>
      </c>
      <c r="C12" s="72"/>
      <c r="D12" s="73"/>
      <c r="E12" s="9">
        <v>3717951</v>
      </c>
      <c r="F12" s="17" t="s">
        <v>4</v>
      </c>
      <c r="G12" s="10"/>
      <c r="H12" s="24"/>
      <c r="I12" s="2"/>
    </row>
    <row r="13" spans="1:9" x14ac:dyDescent="0.25">
      <c r="A13" s="2"/>
      <c r="B13" s="71" t="s">
        <v>68</v>
      </c>
      <c r="C13" s="72"/>
      <c r="D13" s="73"/>
      <c r="E13" s="9">
        <v>90142</v>
      </c>
      <c r="F13" s="17" t="s">
        <v>4</v>
      </c>
      <c r="G13" s="10"/>
      <c r="H13" s="24"/>
      <c r="I13" s="2"/>
    </row>
    <row r="14" spans="1:9" x14ac:dyDescent="0.25">
      <c r="A14" s="2"/>
      <c r="B14" s="71" t="s">
        <v>69</v>
      </c>
      <c r="C14" s="72"/>
      <c r="D14" s="73"/>
      <c r="E14" s="9">
        <v>3622533</v>
      </c>
      <c r="F14" s="17" t="s">
        <v>4</v>
      </c>
      <c r="G14" s="10"/>
      <c r="H14" s="24"/>
      <c r="I14" s="2"/>
    </row>
    <row r="15" spans="1:9" x14ac:dyDescent="0.25">
      <c r="A15" s="2"/>
      <c r="B15" s="94" t="s">
        <v>18</v>
      </c>
      <c r="C15" s="95"/>
      <c r="D15" s="96"/>
      <c r="E15" s="12">
        <f>SUM(E11:E14)</f>
        <v>20509716</v>
      </c>
      <c r="F15" s="20" t="s">
        <v>4</v>
      </c>
      <c r="G15" s="10"/>
      <c r="H15" s="24"/>
      <c r="I15" s="2"/>
    </row>
    <row r="16" spans="1:9" x14ac:dyDescent="0.25">
      <c r="A16" s="2"/>
      <c r="B16" s="71" t="s">
        <v>19</v>
      </c>
      <c r="C16" s="72"/>
      <c r="D16" s="73"/>
      <c r="E16" s="9">
        <v>418081</v>
      </c>
      <c r="F16" s="17" t="s">
        <v>4</v>
      </c>
      <c r="G16" s="10"/>
      <c r="H16" s="24"/>
      <c r="I16" s="2"/>
    </row>
    <row r="17" spans="1:9" x14ac:dyDescent="0.25">
      <c r="A17" s="2"/>
      <c r="B17" s="71" t="s">
        <v>20</v>
      </c>
      <c r="C17" s="72"/>
      <c r="D17" s="73"/>
      <c r="E17" s="9">
        <v>0</v>
      </c>
      <c r="F17" s="17" t="s">
        <v>4</v>
      </c>
      <c r="G17" s="10"/>
      <c r="H17" s="24"/>
      <c r="I17" s="2"/>
    </row>
    <row r="18" spans="1:9" x14ac:dyDescent="0.25">
      <c r="A18" s="2"/>
      <c r="B18" s="71" t="s">
        <v>21</v>
      </c>
      <c r="C18" s="72"/>
      <c r="D18" s="73"/>
      <c r="E18" s="9">
        <v>0</v>
      </c>
      <c r="F18" s="17" t="s">
        <v>4</v>
      </c>
      <c r="G18" s="10"/>
      <c r="H18" s="24"/>
      <c r="I18" s="2"/>
    </row>
    <row r="19" spans="1:9" x14ac:dyDescent="0.25">
      <c r="A19" s="2"/>
      <c r="B19" s="94" t="s">
        <v>22</v>
      </c>
      <c r="C19" s="95"/>
      <c r="D19" s="96"/>
      <c r="E19" s="12">
        <f>SUM(E16:E18)</f>
        <v>418081</v>
      </c>
      <c r="F19" s="20" t="s">
        <v>4</v>
      </c>
      <c r="G19" s="10"/>
      <c r="H19" s="24"/>
      <c r="I19" s="2"/>
    </row>
    <row r="20" spans="1:9" ht="29.25" customHeight="1" x14ac:dyDescent="0.25">
      <c r="A20" s="2"/>
      <c r="B20" s="91" t="s">
        <v>23</v>
      </c>
      <c r="C20" s="92"/>
      <c r="D20" s="93"/>
      <c r="E20" s="9">
        <v>-1214859.2</v>
      </c>
      <c r="F20" s="17" t="s">
        <v>4</v>
      </c>
      <c r="G20" s="10"/>
      <c r="H20" s="24"/>
      <c r="I20" s="2"/>
    </row>
    <row r="21" spans="1:9" ht="30.75" customHeight="1" x14ac:dyDescent="0.25">
      <c r="A21" s="2"/>
      <c r="B21" s="91" t="s">
        <v>24</v>
      </c>
      <c r="C21" s="92"/>
      <c r="D21" s="93"/>
      <c r="E21" s="9">
        <v>-8574390</v>
      </c>
      <c r="F21" s="17" t="s">
        <v>4</v>
      </c>
      <c r="G21" s="10"/>
      <c r="H21" s="24"/>
      <c r="I21" s="2"/>
    </row>
    <row r="22" spans="1:9" x14ac:dyDescent="0.25">
      <c r="A22" s="2"/>
      <c r="B22" s="71" t="s">
        <v>25</v>
      </c>
      <c r="C22" s="72"/>
      <c r="D22" s="73"/>
      <c r="E22" s="9">
        <v>-7230559</v>
      </c>
      <c r="F22" s="17" t="s">
        <v>4</v>
      </c>
      <c r="G22" s="10"/>
      <c r="H22" s="24"/>
      <c r="I22" s="2"/>
    </row>
    <row r="23" spans="1:9" x14ac:dyDescent="0.25">
      <c r="A23" s="2"/>
      <c r="B23" s="71" t="s">
        <v>26</v>
      </c>
      <c r="C23" s="72"/>
      <c r="D23" s="73"/>
      <c r="E23" s="9">
        <v>-1407500</v>
      </c>
      <c r="F23" s="17" t="s">
        <v>4</v>
      </c>
      <c r="G23" s="10"/>
      <c r="H23" s="24"/>
      <c r="I23" s="2"/>
    </row>
    <row r="24" spans="1:9" ht="30" customHeight="1" x14ac:dyDescent="0.25">
      <c r="A24" s="2"/>
      <c r="B24" s="91" t="s">
        <v>27</v>
      </c>
      <c r="C24" s="92"/>
      <c r="D24" s="93"/>
      <c r="E24" s="9">
        <v>0</v>
      </c>
      <c r="F24" s="17" t="s">
        <v>4</v>
      </c>
      <c r="G24" s="10"/>
      <c r="H24" s="24"/>
      <c r="I24" s="2"/>
    </row>
    <row r="25" spans="1:9" ht="30" customHeight="1" x14ac:dyDescent="0.25">
      <c r="A25" s="2"/>
      <c r="B25" s="91" t="s">
        <v>28</v>
      </c>
      <c r="C25" s="92"/>
      <c r="D25" s="93"/>
      <c r="E25" s="9">
        <v>0</v>
      </c>
      <c r="F25" s="17" t="s">
        <v>4</v>
      </c>
      <c r="G25" s="10"/>
      <c r="H25" s="24"/>
      <c r="I25" s="2"/>
    </row>
    <row r="26" spans="1:9" ht="30" customHeight="1" x14ac:dyDescent="0.25">
      <c r="A26" s="2"/>
      <c r="B26" s="91" t="s">
        <v>29</v>
      </c>
      <c r="C26" s="92"/>
      <c r="D26" s="93"/>
      <c r="E26" s="9">
        <v>0</v>
      </c>
      <c r="F26" s="17" t="s">
        <v>4</v>
      </c>
      <c r="G26" s="10"/>
      <c r="H26" s="24"/>
      <c r="I26" s="2"/>
    </row>
    <row r="27" spans="1:9" x14ac:dyDescent="0.25">
      <c r="A27" s="2"/>
      <c r="B27" s="94" t="s">
        <v>30</v>
      </c>
      <c r="C27" s="95"/>
      <c r="D27" s="96"/>
      <c r="E27" s="12">
        <f>SUM(E20:E26)</f>
        <v>-18427308.199999999</v>
      </c>
      <c r="F27" s="20" t="s">
        <v>4</v>
      </c>
      <c r="G27" s="11"/>
      <c r="H27" s="25"/>
      <c r="I27" s="2"/>
    </row>
    <row r="28" spans="1:9" x14ac:dyDescent="0.25">
      <c r="A28" s="2"/>
      <c r="B28" s="94" t="s">
        <v>31</v>
      </c>
      <c r="C28" s="95"/>
      <c r="D28" s="96"/>
      <c r="E28" s="12">
        <f>E15+E19+E27</f>
        <v>2500488.8000000007</v>
      </c>
      <c r="F28" s="20" t="s">
        <v>4</v>
      </c>
      <c r="G28" s="1">
        <f>IF(E28&lt;0,0,-E28)</f>
        <v>-2500488.8000000007</v>
      </c>
      <c r="H28" s="20" t="s">
        <v>4</v>
      </c>
      <c r="I28" s="2"/>
    </row>
    <row r="29" spans="1:9" x14ac:dyDescent="0.25">
      <c r="A29" s="2"/>
      <c r="B29" s="83" t="s">
        <v>70</v>
      </c>
      <c r="C29" s="84"/>
      <c r="D29" s="84"/>
      <c r="E29" s="84"/>
      <c r="F29" s="84"/>
      <c r="G29" s="84"/>
      <c r="H29" s="85"/>
      <c r="I29" s="2"/>
    </row>
    <row r="30" spans="1:9" x14ac:dyDescent="0.25">
      <c r="A30" s="2"/>
      <c r="B30" s="94" t="s">
        <v>70</v>
      </c>
      <c r="C30" s="95"/>
      <c r="D30" s="96"/>
      <c r="E30" s="12">
        <v>5740738</v>
      </c>
      <c r="F30" s="20" t="s">
        <v>4</v>
      </c>
      <c r="G30" s="12">
        <f>-$E$30</f>
        <v>-5740738</v>
      </c>
      <c r="H30" s="20" t="s">
        <v>4</v>
      </c>
      <c r="I30" s="2"/>
    </row>
    <row r="31" spans="1:9" x14ac:dyDescent="0.25">
      <c r="A31" s="2"/>
      <c r="B31" s="97" t="s">
        <v>46</v>
      </c>
      <c r="C31" s="84"/>
      <c r="D31" s="84"/>
      <c r="E31" s="84"/>
      <c r="F31" s="84"/>
      <c r="G31" s="84"/>
      <c r="H31" s="85"/>
      <c r="I31" s="2"/>
    </row>
    <row r="32" spans="1:9" ht="30" customHeight="1" x14ac:dyDescent="0.25">
      <c r="A32" s="2"/>
      <c r="B32" s="91" t="s">
        <v>47</v>
      </c>
      <c r="C32" s="92"/>
      <c r="D32" s="93"/>
      <c r="E32" s="9">
        <v>58075479</v>
      </c>
      <c r="F32" s="17" t="s">
        <v>4</v>
      </c>
      <c r="G32" s="14"/>
      <c r="H32" s="23"/>
      <c r="I32" s="2"/>
    </row>
    <row r="33" spans="1:9" x14ac:dyDescent="0.25">
      <c r="A33" s="2"/>
      <c r="B33" s="71" t="s">
        <v>32</v>
      </c>
      <c r="C33" s="72"/>
      <c r="D33" s="73"/>
      <c r="E33" s="9">
        <v>0</v>
      </c>
      <c r="F33" s="17" t="s">
        <v>4</v>
      </c>
      <c r="G33" s="10"/>
      <c r="H33" s="24"/>
      <c r="I33" s="2"/>
    </row>
    <row r="34" spans="1:9" ht="43.5" customHeight="1" x14ac:dyDescent="0.25">
      <c r="A34" s="2"/>
      <c r="B34" s="91" t="s">
        <v>33</v>
      </c>
      <c r="C34" s="92"/>
      <c r="D34" s="93"/>
      <c r="E34" s="9">
        <v>0</v>
      </c>
      <c r="F34" s="17" t="s">
        <v>4</v>
      </c>
      <c r="G34" s="11"/>
      <c r="H34" s="25"/>
      <c r="I34" s="2"/>
    </row>
    <row r="35" spans="1:9" x14ac:dyDescent="0.25">
      <c r="A35" s="2"/>
      <c r="B35" s="94" t="s">
        <v>34</v>
      </c>
      <c r="C35" s="95"/>
      <c r="D35" s="96"/>
      <c r="E35" s="12">
        <f>SUM(E32:E34)</f>
        <v>58075479</v>
      </c>
      <c r="F35" s="20" t="s">
        <v>4</v>
      </c>
      <c r="G35" s="12">
        <f>-E35</f>
        <v>-58075479</v>
      </c>
      <c r="H35" s="20" t="s">
        <v>4</v>
      </c>
      <c r="I35" s="2"/>
    </row>
    <row r="36" spans="1:9" x14ac:dyDescent="0.25">
      <c r="A36" s="2"/>
      <c r="B36" s="83" t="s">
        <v>147</v>
      </c>
      <c r="C36" s="84"/>
      <c r="D36" s="84"/>
      <c r="E36" s="84"/>
      <c r="F36" s="85"/>
      <c r="G36" s="15">
        <f>$G$9+$G$28+$G$30+$G$35</f>
        <v>1454642.5649167746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74" t="s">
        <v>115</v>
      </c>
      <c r="C3" s="74"/>
      <c r="D3" s="74"/>
      <c r="E3" s="74"/>
      <c r="F3" s="74"/>
      <c r="G3" s="74"/>
      <c r="H3" s="2"/>
    </row>
    <row r="4" spans="1:8" ht="15" customHeight="1" x14ac:dyDescent="0.25">
      <c r="A4" s="2"/>
      <c r="B4" s="74"/>
      <c r="C4" s="74"/>
      <c r="D4" s="74"/>
      <c r="E4" s="74"/>
      <c r="F4" s="74"/>
      <c r="G4" s="7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83" t="s">
        <v>145</v>
      </c>
      <c r="C8" s="84"/>
      <c r="D8" s="84"/>
      <c r="E8" s="84"/>
      <c r="F8" s="84"/>
      <c r="G8" s="85"/>
      <c r="H8" s="2"/>
    </row>
    <row r="9" spans="1:8" ht="29.25" customHeight="1" x14ac:dyDescent="0.25">
      <c r="A9" s="2"/>
      <c r="B9" s="76" t="s">
        <v>78</v>
      </c>
      <c r="C9" s="78"/>
      <c r="D9" s="90" t="s">
        <v>42</v>
      </c>
      <c r="E9" s="90"/>
      <c r="F9" s="90" t="s">
        <v>83</v>
      </c>
      <c r="G9" s="90"/>
      <c r="H9" s="2"/>
    </row>
    <row r="10" spans="1:8" x14ac:dyDescent="0.25">
      <c r="A10" s="2"/>
      <c r="B10" s="98" t="s">
        <v>146</v>
      </c>
      <c r="C10" s="99"/>
      <c r="D10" s="47">
        <v>0</v>
      </c>
      <c r="E10" s="17" t="s">
        <v>4</v>
      </c>
      <c r="F10" s="9">
        <v>0</v>
      </c>
      <c r="G10" s="17" t="s">
        <v>4</v>
      </c>
      <c r="H10" s="2"/>
    </row>
    <row r="11" spans="1:8" x14ac:dyDescent="0.25">
      <c r="A11" s="2"/>
      <c r="B11" s="83" t="s">
        <v>85</v>
      </c>
      <c r="C11" s="84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83" t="s">
        <v>95</v>
      </c>
      <c r="C12" s="85"/>
      <c r="D12" s="15">
        <f>D11*(1+'Fane 2. Overblik ØR18-19'!E30/100)</f>
        <v>0</v>
      </c>
      <c r="E12" s="16" t="s">
        <v>4</v>
      </c>
      <c r="F12" s="15">
        <f>F11*(1+'Fane 2. Overblik ØR18-19'!E30/100)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83" t="s">
        <v>141</v>
      </c>
      <c r="C15" s="84"/>
      <c r="D15" s="84"/>
      <c r="E15" s="84"/>
      <c r="F15" s="84"/>
      <c r="G15" s="85"/>
      <c r="H15" s="2"/>
    </row>
    <row r="16" spans="1:8" ht="15" customHeight="1" x14ac:dyDescent="0.25">
      <c r="A16" s="2"/>
      <c r="B16" s="76" t="s">
        <v>159</v>
      </c>
      <c r="C16" s="77"/>
      <c r="D16" s="77"/>
      <c r="E16" s="78"/>
      <c r="F16" s="90" t="s">
        <v>142</v>
      </c>
      <c r="G16" s="90"/>
      <c r="H16" s="2"/>
    </row>
    <row r="17" spans="1:8" x14ac:dyDescent="0.25">
      <c r="A17" s="2"/>
      <c r="B17" s="71" t="s">
        <v>156</v>
      </c>
      <c r="C17" s="72"/>
      <c r="D17" s="72"/>
      <c r="E17" s="73"/>
      <c r="F17" s="9">
        <v>0</v>
      </c>
      <c r="G17" s="17" t="s">
        <v>4</v>
      </c>
      <c r="H17" s="2"/>
    </row>
    <row r="18" spans="1:8" x14ac:dyDescent="0.25">
      <c r="A18" s="2"/>
      <c r="B18" s="83" t="s">
        <v>143</v>
      </c>
      <c r="C18" s="84"/>
      <c r="D18" s="84"/>
      <c r="E18" s="85"/>
      <c r="F18" s="15">
        <f>SUM(F17:F17)</f>
        <v>0</v>
      </c>
      <c r="G18" s="16" t="s">
        <v>4</v>
      </c>
      <c r="H18" s="2"/>
    </row>
    <row r="19" spans="1:8" x14ac:dyDescent="0.25">
      <c r="A19" s="2"/>
      <c r="B19" s="83" t="s">
        <v>144</v>
      </c>
      <c r="C19" s="84"/>
      <c r="D19" s="84"/>
      <c r="E19" s="85"/>
      <c r="F19" s="15">
        <f>F18*(1+'Fane 2. Overblik ØR18-19'!E30/100)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9:E19"/>
    <mergeCell ref="B15:G15"/>
    <mergeCell ref="F16:G16"/>
    <mergeCell ref="B12:C12"/>
    <mergeCell ref="B11:C11"/>
    <mergeCell ref="B16:E16"/>
    <mergeCell ref="B17:E17"/>
    <mergeCell ref="B18:E18"/>
    <mergeCell ref="B10:C10"/>
    <mergeCell ref="B3:G4"/>
    <mergeCell ref="B8:G8"/>
    <mergeCell ref="F9:G9"/>
    <mergeCell ref="B9:C9"/>
    <mergeCell ref="D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ØR18-19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Tyge Helms Skov (KFST)</cp:lastModifiedBy>
  <cp:lastPrinted>2016-06-14T12:57:30Z</cp:lastPrinted>
  <dcterms:created xsi:type="dcterms:W3CDTF">2016-06-02T08:51:18Z</dcterms:created>
  <dcterms:modified xsi:type="dcterms:W3CDTF">2018-08-10T08:58:30Z</dcterms:modified>
</cp:coreProperties>
</file>