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G3" i="16" l="1"/>
  <c r="F3" i="16"/>
  <c r="E3" i="16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E4" i="16" l="1"/>
  <c r="F4" i="16"/>
  <c r="G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E5" i="16"/>
  <c r="F5" i="16"/>
  <c r="I3" i="16" s="1"/>
  <c r="G5" i="16"/>
  <c r="E6" i="16"/>
  <c r="J3" i="24"/>
  <c r="M3" i="24" s="1"/>
  <c r="G6" i="16"/>
  <c r="F6" i="16"/>
  <c r="J3" i="16" l="1"/>
  <c r="H3" i="16"/>
  <c r="B9" i="12"/>
  <c r="B10" i="12" s="1"/>
  <c r="H3" i="17"/>
  <c r="B4" i="12" s="1"/>
  <c r="I2" i="15"/>
  <c r="K2" i="15" s="1"/>
  <c r="B2" i="12" s="1"/>
  <c r="K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<sst xmlns="http://schemas.openxmlformats.org/spreadsheetml/2006/main" count="115" uniqueCount="76">
  <si>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</si>
  <si>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</si>
  <si>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</si>
  <si>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</si>
  <si>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</si>
  <si>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</si>
  <si>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</si>
  <si>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</si>
  <si>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</si>
  <si>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</si>
  <si>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</si>
  <si>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</si>
  <si>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</si>
  <si>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</si>
  <si>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</si>
  <si>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</si>
  <si>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</si>
  <si>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</si>
  <si>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</si>
  <si>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</si>
  <si>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</si>
  <si>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</si>
  <si>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Grundvandsbeskyttelse</t>
  </si>
  <si>
    <t>Kvalitetssikring</t>
  </si>
  <si>
    <t>SMS-service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</si>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</sst>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/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10391816.860703999</v>
      </c>
      <c r="C2" t="s">
        <v>11</v>
      </c>
    </row>
    <row r="3" spans="1:3" s="2" customFormat="1" x14ac:dyDescent="0.25">
      <c r="A3" s="5" t="s">
        <v>8</v>
      </c>
      <c r="B3" s="36">
        <f>'Miljø- og servicemål'!K3</f>
        <v>1100212.344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169725.22573333333</v>
      </c>
      <c r="C4" t="s">
        <v>11</v>
      </c>
    </row>
    <row r="5" spans="1:3" s="26" customFormat="1" x14ac:dyDescent="0.25">
      <c r="A5" s="3" t="s">
        <v>12</v>
      </c>
      <c r="B5" s="48">
        <f>SUM(B2:B4)</f>
        <v>11661754.430437334</v>
      </c>
      <c r="C5" s="62" t="s">
        <v>11</v>
      </c>
    </row>
    <row r="6" spans="1:3" x14ac:dyDescent="0.25">
      <c r="A6" s="47" t="s">
        <v>0</v>
      </c>
      <c r="B6" s="38">
        <f>Investeringer!E3</f>
        <v>7475423.7395499758</v>
      </c>
      <c r="C6" s="23" t="s">
        <v>11</v>
      </c>
    </row>
    <row r="7" spans="1:3" x14ac:dyDescent="0.25">
      <c r="A7" s="4" t="s">
        <v>1</v>
      </c>
      <c r="B7" s="35">
        <f>Investeringer!F3</f>
        <v>1804458.1792483439</v>
      </c>
      <c r="C7" t="s">
        <v>11</v>
      </c>
    </row>
    <row r="8" spans="1:3" x14ac:dyDescent="0.25">
      <c r="A8" s="4" t="s">
        <v>2</v>
      </c>
      <c r="B8" s="35">
        <f>Investeringer!G3</f>
        <v>933197.67616944399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556565.92508399999</v>
      </c>
      <c r="C9" t="s">
        <v>11</v>
      </c>
    </row>
    <row r="10" spans="1:3" s="22" customFormat="1" x14ac:dyDescent="0.25">
      <c r="A10" s="3" t="s">
        <v>49</v>
      </c>
      <c r="B10" s="48">
        <f>SUM(B6:B9)</f>
        <v>10769645.520051764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12188693</v>
      </c>
      <c r="C11" t="s">
        <v>11</v>
      </c>
    </row>
    <row r="12" spans="1:3" s="22" customFormat="1" x14ac:dyDescent="0.25">
      <c r="A12" s="3" t="s">
        <v>69</v>
      </c>
      <c r="B12" s="48">
        <f>SUM(B11:B11)</f>
        <v>12188693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59</v>
      </c>
      <c r="B14" s="37">
        <f>SUM(B5,B10,B12)</f>
        <v>34620092.950489096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53</v>
      </c>
      <c r="B16" s="37">
        <f>B14*Pristalsregulering!C8*Pristalsregulering!C9</f>
        <v>34926541.012062654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60</v>
      </c>
      <c r="D1" s="59" t="s">
        <v>61</v>
      </c>
      <c r="E1" s="59" t="s">
        <v>54</v>
      </c>
      <c r="F1" s="52" t="s">
        <v>62</v>
      </c>
      <c r="G1" s="52" t="s">
        <v>70</v>
      </c>
      <c r="H1" s="52" t="s">
        <v>63</v>
      </c>
      <c r="I1" s="52" t="s">
        <v>50</v>
      </c>
      <c r="J1" s="11" t="s">
        <v>64</v>
      </c>
      <c r="K1" s="11" t="s">
        <v>65</v>
      </c>
    </row>
    <row r="2" spans="1:11" s="23" customFormat="1" ht="15.75" thickTop="1" x14ac:dyDescent="0.25">
      <c r="A2" s="28">
        <v>2015</v>
      </c>
      <c r="B2" s="49">
        <v>10757952</v>
      </c>
      <c r="C2" s="49">
        <v>0</v>
      </c>
      <c r="D2" s="49">
        <f>B2+C2</f>
        <v>10757952</v>
      </c>
      <c r="E2" s="50">
        <f>D2</f>
        <v>10757952</v>
      </c>
      <c r="F2" s="49">
        <v>12195260.130066369</v>
      </c>
      <c r="G2" s="49">
        <v>0</v>
      </c>
      <c r="H2" s="49">
        <f>F2-G2</f>
        <v>12195260.130066369</v>
      </c>
      <c r="I2" s="49">
        <f>AVERAGEIF(E2:E4,"&lt;&gt;0")</f>
        <v>10391816.860703999</v>
      </c>
      <c r="J2" s="49">
        <v>9778355.3447291292</v>
      </c>
      <c r="K2" s="39">
        <f>IF(H2&gt;I2,IF(I2&gt;J2,I2,J2),H2)</f>
        <v>10391816.860703999</v>
      </c>
    </row>
    <row r="3" spans="1:11" s="23" customFormat="1" x14ac:dyDescent="0.25">
      <c r="A3" s="28">
        <v>2014</v>
      </c>
      <c r="B3" s="49">
        <v>9783896</v>
      </c>
      <c r="C3" s="49"/>
      <c r="D3" s="49">
        <f t="shared" ref="D3:D4" si="0">B3+C3</f>
        <v>9783896</v>
      </c>
      <c r="E3" s="50">
        <f>D3*Pristalsregulering!C7</f>
        <v>9791723.116799999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10460376</v>
      </c>
      <c r="C4" s="49"/>
      <c r="D4" s="49">
        <f t="shared" si="0"/>
        <v>10460376</v>
      </c>
      <c r="E4" s="50">
        <f>D4*Pristalsregulering!$C$6*Pristalsregulering!$C$7</f>
        <v>10625775.465311999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4" width="30.7109375" customWidth="1"/>
    <col min="5" max="5" width="30.7109375" style="55" customWidth="1"/>
    <col min="6" max="7" width="30.7109375" customWidth="1"/>
    <col min="8" max="8" width="30.7109375" style="55" customWidth="1"/>
    <col min="9" max="10" width="30.7109375" customWidth="1"/>
    <col min="11" max="11" width="30.7109375" style="55" customWidth="1"/>
    <col min="12" max="12" width="9.140625" hidden="1" customWidth="1"/>
    <col min="13" max="100" width="0" hidden="1" customWidth="1"/>
    <col min="101" max="101" width="9.140625" hidden="1" customWidth="1"/>
    <col min="102" max="115" width="0" hidden="1" customWidth="1"/>
    <col min="116" max="116" width="9.140625" hidden="1" customWidth="1"/>
    <col min="117" max="119" width="0" hidden="1" customWidth="1"/>
    <col min="120" max="120" width="9.140625" hidden="1" customWidth="1"/>
    <col min="121" max="191" width="0" hidden="1" customWidth="1"/>
    <col min="192" max="192" width="9.140625" hidden="1" customWidth="1"/>
    <col min="193" max="206" width="0" hidden="1" customWidth="1"/>
    <col min="207" max="207" width="9.140625" hidden="1" customWidth="1"/>
    <col min="208" max="210" width="0" hidden="1" customWidth="1"/>
    <col min="211" max="211" width="9.140625" hidden="1" customWidth="1"/>
    <col min="212" max="221" width="0" hidden="1" customWidth="1"/>
    <col min="222" max="222" width="9.140625" hidden="1" customWidth="1"/>
    <col min="223" max="225" width="0" hidden="1" customWidth="1"/>
    <col min="226" max="226" width="9.140625" hidden="1" customWidth="1"/>
    <col min="227" max="229" width="0" hidden="1" customWidth="1"/>
    <col min="230" max="230" width="9.140625" hidden="1" customWidth="1"/>
    <col min="231" max="282" width="0" hidden="1" customWidth="1"/>
    <col min="283" max="283" width="9.140625" hidden="1" customWidth="1"/>
    <col min="284" max="297" width="0" hidden="1" customWidth="1"/>
    <col min="298" max="298" width="9.140625" hidden="1" customWidth="1"/>
    <col min="299" max="301" width="0" hidden="1" customWidth="1"/>
    <col min="302" max="302" width="9.140625" hidden="1" customWidth="1"/>
    <col min="303" max="312" width="0" hidden="1" customWidth="1"/>
    <col min="313" max="313" width="9.140625" hidden="1" customWidth="1"/>
    <col min="314" max="316" width="0" hidden="1" customWidth="1"/>
    <col min="317" max="317" width="9.140625" hidden="1" customWidth="1"/>
    <col min="318" max="320" width="0" hidden="1" customWidth="1"/>
    <col min="321" max="321" width="9.140625" hidden="1" customWidth="1"/>
    <col min="322" max="327" width="0" hidden="1" customWidth="1"/>
    <col min="328" max="328" width="9.140625" hidden="1" customWidth="1"/>
    <col min="329" max="331" width="0" hidden="1" customWidth="1"/>
    <col min="332" max="332" width="9.140625" hidden="1" customWidth="1"/>
    <col min="333" max="335" width="0" hidden="1" customWidth="1"/>
    <col min="336" max="336" width="9.140625" hidden="1" customWidth="1"/>
    <col min="337" max="339" width="0" hidden="1" customWidth="1"/>
    <col min="340" max="340" width="9.140625" hidden="1" customWidth="1"/>
    <col min="341" max="341" width="0" hidden="1" customWidth="1"/>
    <col min="342" max="16384" width="9.140625" hidden="1"/>
  </cols>
  <sheetData>
    <row r="1" spans="1:11" s="27" customFormat="1" ht="15.75" thickBot="1" x14ac:dyDescent="0.3">
      <c r="A1" s="9"/>
      <c r="B1" s="33" t="s">
        <v>72</v>
      </c>
      <c r="C1" s="33"/>
      <c r="D1" s="33"/>
      <c r="E1" s="63" t="s">
        <v>73</v>
      </c>
      <c r="F1" s="10"/>
      <c r="G1" s="10"/>
      <c r="H1" s="73" t="s">
        <v>74</v>
      </c>
      <c r="I1" s="10"/>
      <c r="J1" s="10"/>
      <c r="K1" s="63"/>
    </row>
    <row r="2" spans="1:11" ht="15.75" thickTop="1" x14ac:dyDescent="0.25">
      <c r="A2" s="17" t="s">
        <v>13</v>
      </c>
      <c r="B2" s="34" t="s">
        <v>22</v>
      </c>
      <c r="C2" s="34" t="s">
        <v>23</v>
      </c>
      <c r="D2" s="34" t="s">
        <v>24</v>
      </c>
      <c r="E2" s="56" t="s">
        <v>22</v>
      </c>
      <c r="F2" s="34" t="s">
        <v>23</v>
      </c>
      <c r="G2" s="34" t="s">
        <v>24</v>
      </c>
      <c r="H2" s="56" t="s">
        <v>22</v>
      </c>
      <c r="I2" s="34" t="s">
        <v>23</v>
      </c>
      <c r="J2" s="34" t="s">
        <v>24</v>
      </c>
      <c r="K2" s="53" t="s">
        <v>25</v>
      </c>
    </row>
    <row r="3" spans="1:11" s="22" customFormat="1" x14ac:dyDescent="0.25">
      <c r="A3" s="28">
        <v>2016</v>
      </c>
      <c r="B3" s="72">
        <v>0</v>
      </c>
      <c r="C3" s="72">
        <v>0</v>
      </c>
      <c r="D3" s="72">
        <v>0</v>
      </c>
      <c r="E3" s="45">
        <f>B3/Pristalsregulering!$C$8</f>
        <v>0</v>
      </c>
      <c r="F3" s="35">
        <f>C3/Pristalsregulering!$C$8</f>
        <v>0</v>
      </c>
      <c r="G3" s="35">
        <f>D3/Pristalsregulering!$C$8</f>
        <v>0</v>
      </c>
      <c r="H3" s="45">
        <f t="shared" ref="H3" si="0">IF(E4=0,0,AVERAGEIF(E4:E6,"&lt;&gt;0"))+E3</f>
        <v>1055383.0131999999</v>
      </c>
      <c r="I3" s="38">
        <f>IF(F4=0,0,AVERAGEIF(F4:F6,"&lt;&gt;0"))+F3</f>
        <v>27747.588799999998</v>
      </c>
      <c r="J3" s="38">
        <f>IF(G4=0,0,AVERAGEIF(G4:G6,"&lt;&gt;0"))+G3</f>
        <v>17081.741999999998</v>
      </c>
      <c r="K3" s="57">
        <f>SUM(H3:J3)</f>
        <v>1100212.344</v>
      </c>
    </row>
    <row r="4" spans="1:11" x14ac:dyDescent="0.25">
      <c r="A4" s="28">
        <v>2015</v>
      </c>
      <c r="B4" s="35">
        <v>1048634</v>
      </c>
      <c r="C4" s="35">
        <v>22747</v>
      </c>
      <c r="D4" s="35">
        <v>16044</v>
      </c>
      <c r="E4" s="45">
        <f t="shared" ref="E4" si="1">B4</f>
        <v>1048634</v>
      </c>
      <c r="F4" s="35">
        <f>C4</f>
        <v>22747</v>
      </c>
      <c r="G4" s="35">
        <f>D4</f>
        <v>16044</v>
      </c>
      <c r="H4" s="45"/>
      <c r="I4" s="38"/>
      <c r="J4" s="38"/>
      <c r="K4" s="54"/>
    </row>
    <row r="5" spans="1:11" x14ac:dyDescent="0.25">
      <c r="A5" s="28">
        <v>2014</v>
      </c>
      <c r="B5" s="35">
        <v>1061283</v>
      </c>
      <c r="C5" s="35">
        <v>32722</v>
      </c>
      <c r="D5" s="35">
        <v>18105</v>
      </c>
      <c r="E5" s="45">
        <f>B5*Pristalsregulering!$C$7</f>
        <v>1062132.0263999999</v>
      </c>
      <c r="F5" s="35">
        <f>C5*Pristalsregulering!$C$7</f>
        <v>32748.177599999995</v>
      </c>
      <c r="G5" s="35">
        <f>D5*Pristalsregulering!$C$7</f>
        <v>18119.483999999997</v>
      </c>
      <c r="H5" s="45"/>
      <c r="I5" s="35"/>
      <c r="J5" s="35"/>
      <c r="K5" s="45"/>
    </row>
    <row r="6" spans="1:11" x14ac:dyDescent="0.25">
      <c r="A6" s="28">
        <v>2013</v>
      </c>
      <c r="B6" s="35"/>
      <c r="C6" s="35"/>
      <c r="D6" s="35"/>
      <c r="E6" s="45">
        <f>B6*Pristalsregulering!$C$7*Pristalsregulering!$C$6</f>
        <v>0</v>
      </c>
      <c r="F6" s="35">
        <f>C6*Pristalsregulering!$C$7*Pristalsregulering!$C$6</f>
        <v>0</v>
      </c>
      <c r="G6" s="35">
        <f>D6*Pristalsregulering!$C$7*Pristalsregulering!$C$6</f>
        <v>0</v>
      </c>
      <c r="H6" s="45"/>
      <c r="I6" s="35"/>
      <c r="J6" s="35"/>
      <c r="K6" s="45"/>
    </row>
    <row r="7" spans="1:11" hidden="1" x14ac:dyDescent="0.25"/>
    <row r="8" spans="1:11" hidden="1" x14ac:dyDescent="0.25"/>
    <row r="9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4" t="s">
        <v>26</v>
      </c>
      <c r="C1" s="75"/>
      <c r="D1" s="75"/>
      <c r="E1" s="76" t="s">
        <v>55</v>
      </c>
      <c r="F1" s="77"/>
      <c r="G1" s="78"/>
      <c r="H1" s="29"/>
    </row>
    <row r="2" spans="1:8" s="21" customFormat="1" ht="15.75" thickTop="1" x14ac:dyDescent="0.25">
      <c r="A2" s="19" t="s">
        <v>13</v>
      </c>
      <c r="B2" s="16" t="s">
        <v>27</v>
      </c>
      <c r="C2" s="20" t="s">
        <v>28</v>
      </c>
      <c r="D2" s="20" t="s">
        <v>29</v>
      </c>
      <c r="E2" s="16" t="s">
        <v>27</v>
      </c>
      <c r="F2" s="20" t="s">
        <v>28</v>
      </c>
      <c r="G2" s="46" t="s">
        <v>29</v>
      </c>
      <c r="H2" s="6" t="s">
        <v>31</v>
      </c>
    </row>
    <row r="3" spans="1:8" x14ac:dyDescent="0.25">
      <c r="A3" s="31">
        <v>2015</v>
      </c>
      <c r="B3" s="41">
        <v>34000</v>
      </c>
      <c r="C3" s="42">
        <v>146225</v>
      </c>
      <c r="D3" s="42">
        <v>0</v>
      </c>
      <c r="E3" s="41">
        <f>B3</f>
        <v>34000</v>
      </c>
      <c r="F3" s="42">
        <f t="shared" ref="F3:G3" si="0">C3</f>
        <v>146225</v>
      </c>
      <c r="G3" s="43">
        <f t="shared" si="0"/>
        <v>0</v>
      </c>
      <c r="H3" s="44">
        <f>IF(E3=0,0,AVERAGEIF(E3:E5,"&lt;&gt;0"))+IF(F3=0,0,AVERAGEIF(F3:F5,"&lt;&gt;0"))+IF(G3=0,0,AVERAGEIF(G3:G5,"&lt;&gt;0"))</f>
        <v>169725.22573333333</v>
      </c>
    </row>
    <row r="4" spans="1:8" x14ac:dyDescent="0.25">
      <c r="A4" s="31">
        <v>2014</v>
      </c>
      <c r="B4" s="41">
        <v>18100</v>
      </c>
      <c r="C4" s="42"/>
      <c r="D4" s="42">
        <v>0</v>
      </c>
      <c r="E4" s="41">
        <f>B4*Pristalsregulering!$C$7</f>
        <v>18114.48</v>
      </c>
      <c r="F4" s="42">
        <f>C4*Pristalsregulering!$C$7</f>
        <v>0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18100</v>
      </c>
      <c r="C5" s="42"/>
      <c r="D5" s="42">
        <v>0</v>
      </c>
      <c r="E5" s="41">
        <f>B5*Pristalsregulering!$C$7*Pristalsregulering!$C$6</f>
        <v>18386.197199999999</v>
      </c>
      <c r="F5" s="42">
        <f>C5*Pristalsregulering!$C$7*Pristalsregulering!$C$6</f>
        <v>0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77" t="s">
        <v>67</v>
      </c>
      <c r="C1" s="77"/>
      <c r="D1" s="78"/>
      <c r="E1" s="79" t="s">
        <v>68</v>
      </c>
      <c r="F1" s="79"/>
      <c r="G1" s="79"/>
    </row>
    <row r="2" spans="1:7" s="22" customFormat="1" ht="15.75" thickTop="1" x14ac:dyDescent="0.25">
      <c r="A2" s="69" t="s">
        <v>13</v>
      </c>
      <c r="B2" s="23" t="s">
        <v>66</v>
      </c>
      <c r="C2" s="23" t="s">
        <v>1</v>
      </c>
      <c r="D2" s="28" t="s">
        <v>75</v>
      </c>
      <c r="E2" s="22" t="s">
        <v>0</v>
      </c>
      <c r="F2" s="22" t="s">
        <v>1</v>
      </c>
      <c r="G2" s="22" t="s">
        <v>75</v>
      </c>
    </row>
    <row r="3" spans="1:7" s="22" customFormat="1" x14ac:dyDescent="0.25">
      <c r="A3" s="70">
        <v>2015</v>
      </c>
      <c r="B3" s="38">
        <v>6866382.7002542242</v>
      </c>
      <c r="C3" s="38">
        <v>1758918.9550000003</v>
      </c>
      <c r="D3" s="40">
        <v>929651.52500000002</v>
      </c>
      <c r="E3" s="35">
        <f>B3*Pristalsregulering!C2*Pristalsregulering!C3*Pristalsregulering!C4*Pristalsregulering!C5*Pristalsregulering!C6*Pristalsregulering!C7</f>
        <v>7475423.7395499758</v>
      </c>
      <c r="F3" s="35">
        <v>1804458.1792483439</v>
      </c>
      <c r="G3" s="35">
        <f xml:space="preserve"> D3/Pristalsregulering!$C$8</f>
        <v>933197.67616944399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4" t="s">
        <v>42</v>
      </c>
      <c r="C1" s="75"/>
      <c r="D1" s="75"/>
      <c r="E1" s="75"/>
      <c r="F1" s="76" t="s">
        <v>56</v>
      </c>
      <c r="G1" s="77"/>
      <c r="H1" s="77"/>
      <c r="I1" s="77"/>
      <c r="J1" s="80" t="s">
        <v>31</v>
      </c>
      <c r="K1" s="79"/>
      <c r="L1" s="81"/>
      <c r="M1" s="13"/>
    </row>
    <row r="2" spans="1:14" s="26" customFormat="1" ht="15.75" thickTop="1" x14ac:dyDescent="0.25">
      <c r="A2" s="19" t="s">
        <v>13</v>
      </c>
      <c r="B2" s="8" t="s">
        <v>43</v>
      </c>
      <c r="C2" s="7" t="s">
        <v>44</v>
      </c>
      <c r="D2" s="7" t="s">
        <v>45</v>
      </c>
      <c r="E2" s="51" t="s">
        <v>46</v>
      </c>
      <c r="F2" s="7" t="s">
        <v>43</v>
      </c>
      <c r="G2" s="7" t="s">
        <v>44</v>
      </c>
      <c r="H2" s="7" t="s">
        <v>45</v>
      </c>
      <c r="I2" s="51" t="s">
        <v>46</v>
      </c>
      <c r="J2" s="20" t="s">
        <v>47</v>
      </c>
      <c r="K2" s="20" t="s">
        <v>44</v>
      </c>
      <c r="L2" s="15" t="s">
        <v>71</v>
      </c>
      <c r="M2" s="6" t="s">
        <v>30</v>
      </c>
      <c r="N2" s="32"/>
    </row>
    <row r="3" spans="1:14" x14ac:dyDescent="0.25">
      <c r="A3" s="28">
        <v>2015</v>
      </c>
      <c r="B3" s="45">
        <v>0</v>
      </c>
      <c r="C3" s="38">
        <v>416679</v>
      </c>
      <c r="D3" s="38">
        <v>0</v>
      </c>
      <c r="E3" s="40">
        <v>0</v>
      </c>
      <c r="F3" s="38">
        <f>B3</f>
        <v>0</v>
      </c>
      <c r="G3" s="38">
        <f>C3</f>
        <v>416679</v>
      </c>
      <c r="H3" s="38">
        <f>D3</f>
        <v>0</v>
      </c>
      <c r="I3" s="40">
        <f>E3</f>
        <v>0</v>
      </c>
      <c r="J3" s="42">
        <f>AVERAGE(F3:F5)</f>
        <v>98540.87468399998</v>
      </c>
      <c r="K3" s="42">
        <f>G3</f>
        <v>416679</v>
      </c>
      <c r="L3" s="43">
        <f>AVERAGE(H3:H5)+AVERAGE(I3:I5)</f>
        <v>41346.0504</v>
      </c>
      <c r="M3" s="44">
        <f>SUM(J3:L3)</f>
        <v>556565.92508399999</v>
      </c>
      <c r="N3" s="23"/>
    </row>
    <row r="4" spans="1:14" x14ac:dyDescent="0.25">
      <c r="A4" s="28">
        <v>2014</v>
      </c>
      <c r="B4" s="45">
        <v>0</v>
      </c>
      <c r="C4" s="38">
        <v>198066</v>
      </c>
      <c r="D4" s="38">
        <v>123939</v>
      </c>
      <c r="E4" s="40">
        <v>0</v>
      </c>
      <c r="F4" s="38">
        <f>IF(B4="","",B4*Pristalsregulering!$C$7)</f>
        <v>0</v>
      </c>
      <c r="G4" s="38">
        <f>IF(C4="","",C4*Pristalsregulering!$C$7)</f>
        <v>198224.45279999997</v>
      </c>
      <c r="H4" s="38">
        <f>IF(D4="","",D4*Pristalsregulering!$C$7)</f>
        <v>124038.15119999999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291021</v>
      </c>
      <c r="C5" s="38">
        <v>16228</v>
      </c>
      <c r="D5" s="38">
        <v>0</v>
      </c>
      <c r="E5" s="40">
        <v>0</v>
      </c>
      <c r="F5" s="38">
        <f>IF(B5="","",B5*Pristalsregulering!$C$7*Pristalsregulering!$C$6)</f>
        <v>295622.62405199994</v>
      </c>
      <c r="G5" s="38">
        <f>IF(C5="","",C5*Pristalsregulering!$C$7*Pristalsregulering!$C$6)</f>
        <v>16484.597135999997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32</v>
      </c>
      <c r="C1" s="66" t="s">
        <v>33</v>
      </c>
      <c r="D1" s="66" t="s">
        <v>34</v>
      </c>
      <c r="E1" s="66" t="s">
        <v>35</v>
      </c>
      <c r="F1" s="66" t="s">
        <v>36</v>
      </c>
      <c r="G1" s="66" t="s">
        <v>37</v>
      </c>
      <c r="H1" s="66" t="s">
        <v>38</v>
      </c>
      <c r="I1" s="66" t="s">
        <v>39</v>
      </c>
      <c r="J1" s="66" t="s">
        <v>40</v>
      </c>
      <c r="K1" s="66" t="s">
        <v>57</v>
      </c>
      <c r="L1" s="67" t="s">
        <v>41</v>
      </c>
      <c r="M1" s="14" t="s">
        <v>30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0</v>
      </c>
      <c r="E2" s="42">
        <v>59152</v>
      </c>
      <c r="F2" s="42">
        <v>492915</v>
      </c>
      <c r="G2" s="42">
        <v>11604103</v>
      </c>
      <c r="H2" s="42" t="s">
        <v>48</v>
      </c>
      <c r="I2" s="42">
        <v>0</v>
      </c>
      <c r="J2" s="42">
        <v>0</v>
      </c>
      <c r="K2" s="42"/>
      <c r="L2" s="43"/>
      <c r="M2" s="44">
        <f>SUM(B2:L2)</f>
        <v>12188693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48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48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58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51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52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2017-09-13T12:23:24Z</dcterms:modified>
</cp:coreProperties>
</file>