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C3" i="16" l="1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C4" i="16" l="1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J3" i="24"/>
  <c r="M3" i="24" s="1"/>
  <c r="C5" i="16"/>
  <c r="C6" i="16"/>
  <c r="D3" i="16" l="1"/>
  <c r="B9" i="12"/>
  <c r="B10" i="12" s="1"/>
  <c r="H3" i="17"/>
  <c r="B4" i="12" s="1"/>
  <c r="I2" i="15"/>
  <c r="K2" i="15" s="1"/>
  <c r="B2" i="12" s="1"/>
  <c r="E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<sst xmlns="http://schemas.openxmlformats.org/spreadsheetml/2006/main" count="109" uniqueCount="75">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</sst>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3" fillId="0" borderId="30" xfId="0" applyNumberFormat="1" applyFont="1" applyFill="1" applyBorder="1" applyAlignment="1">
      <alignment horizontal="left"/>
    </xf>
    <xf numFmtId="0" fontId="0" fillId="0" borderId="29" xfId="0" applyFont="1" applyFill="1" applyBorder="1" applyAlignment="1">
      <alignment wrapText="1"/>
    </xf>
    <xf numFmtId="164" fontId="0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3514784.3987413333</v>
      </c>
      <c r="C2" t="s">
        <v>11</v>
      </c>
    </row>
    <row r="3" spans="1:3" s="2" customFormat="1" x14ac:dyDescent="0.25">
      <c r="A3" s="5" t="s">
        <v>8</v>
      </c>
      <c r="B3" s="36">
        <f>'Miljø- og servicemål'!E3</f>
        <v>76969.484039349525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48366.435199999993</v>
      </c>
      <c r="C4" t="s">
        <v>11</v>
      </c>
    </row>
    <row r="5" spans="1:3" s="26" customFormat="1" x14ac:dyDescent="0.25">
      <c r="A5" s="3" t="s">
        <v>12</v>
      </c>
      <c r="B5" s="48">
        <f>SUM(B2:B4)</f>
        <v>3640120.3179806829</v>
      </c>
      <c r="C5" s="61" t="s">
        <v>11</v>
      </c>
    </row>
    <row r="6" spans="1:3" x14ac:dyDescent="0.25">
      <c r="A6" s="47" t="s">
        <v>0</v>
      </c>
      <c r="B6" s="38">
        <f>Investeringer!E3</f>
        <v>1560540.0065389518</v>
      </c>
      <c r="C6" s="23" t="s">
        <v>11</v>
      </c>
    </row>
    <row r="7" spans="1:3" x14ac:dyDescent="0.25">
      <c r="A7" s="4" t="s">
        <v>1</v>
      </c>
      <c r="B7" s="35">
        <f>Investeringer!F3</f>
        <v>1251494.9959545326</v>
      </c>
      <c r="C7" t="s">
        <v>11</v>
      </c>
    </row>
    <row r="8" spans="1:3" x14ac:dyDescent="0.25">
      <c r="A8" s="4" t="s">
        <v>2</v>
      </c>
      <c r="B8" s="35">
        <f>Investeringer!G3</f>
        <v>18508.264739342841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402510</v>
      </c>
      <c r="C9" t="s">
        <v>11</v>
      </c>
    </row>
    <row r="10" spans="1:3" s="22" customFormat="1" x14ac:dyDescent="0.25">
      <c r="A10" s="3" t="s">
        <v>47</v>
      </c>
      <c r="B10" s="48">
        <f>SUM(B6:B9)</f>
        <v>3233053.2672328274</v>
      </c>
      <c r="C10" s="61" t="s">
        <v>11</v>
      </c>
    </row>
    <row r="11" spans="1:3" s="22" customFormat="1" x14ac:dyDescent="0.25">
      <c r="A11" s="4" t="s">
        <v>10</v>
      </c>
      <c r="B11" s="35">
        <f>'Ikke-påvirkelige omkostninger'!M2</f>
        <v>11111990</v>
      </c>
      <c r="C11" t="s">
        <v>11</v>
      </c>
    </row>
    <row r="12" spans="1:3" s="22" customFormat="1" x14ac:dyDescent="0.25">
      <c r="A12" s="3" t="s">
        <v>68</v>
      </c>
      <c r="B12" s="48">
        <f>SUM(B11:B11)</f>
        <v>11111990</v>
      </c>
      <c r="C12" s="61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17985163.585213512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51</v>
      </c>
      <c r="B16" s="37">
        <f>B14*Pristalsregulering!C8*Pristalsregulering!C9</f>
        <v>18144363.577127289</v>
      </c>
      <c r="C16" s="27" t="s">
        <v>3</v>
      </c>
    </row>
    <row r="17" spans="2:2" ht="15.75" hidden="1" thickTop="1" x14ac:dyDescent="0.25">
      <c r="B17" s="60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59" customFormat="1" ht="60.75" thickBot="1" x14ac:dyDescent="0.3">
      <c r="A1" s="57" t="s">
        <v>13</v>
      </c>
      <c r="B1" s="58" t="s">
        <v>14</v>
      </c>
      <c r="C1" s="58" t="s">
        <v>59</v>
      </c>
      <c r="D1" s="58" t="s">
        <v>60</v>
      </c>
      <c r="E1" s="58" t="s">
        <v>52</v>
      </c>
      <c r="F1" s="52" t="s">
        <v>61</v>
      </c>
      <c r="G1" s="52" t="s">
        <v>69</v>
      </c>
      <c r="H1" s="52" t="s">
        <v>62</v>
      </c>
      <c r="I1" s="52" t="s">
        <v>48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3243622</v>
      </c>
      <c r="C2" s="49">
        <v>0</v>
      </c>
      <c r="D2" s="49">
        <f>B2+C2</f>
        <v>3243622</v>
      </c>
      <c r="E2" s="50">
        <f>D2</f>
        <v>3243622</v>
      </c>
      <c r="F2" s="49">
        <v>5916806.9428818496</v>
      </c>
      <c r="G2" s="49">
        <v>0</v>
      </c>
      <c r="H2" s="49">
        <f>F2-G2</f>
        <v>5916806.9428818496</v>
      </c>
      <c r="I2" s="49">
        <f>AVERAGEIF(E2:E4,"&lt;&gt;0")</f>
        <v>3514784.3987413333</v>
      </c>
      <c r="J2" s="49">
        <v>2054186.4562705159</v>
      </c>
      <c r="K2" s="39">
        <f>IF(H2&gt;I2,IF(I2&gt;J2,I2,J2),H2)</f>
        <v>3514784.3987413333</v>
      </c>
    </row>
    <row r="3" spans="1:11" s="23" customFormat="1" x14ac:dyDescent="0.25">
      <c r="A3" s="28">
        <v>2014</v>
      </c>
      <c r="B3" s="49">
        <v>3939151</v>
      </c>
      <c r="C3" s="49"/>
      <c r="D3" s="49">
        <f t="shared" ref="D3:D4" si="0">B3+C3</f>
        <v>3939151</v>
      </c>
      <c r="E3" s="50">
        <f>D3*Pristalsregulering!C7</f>
        <v>3942302.3207999999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3306152</v>
      </c>
      <c r="C4" s="49"/>
      <c r="D4" s="49">
        <f t="shared" si="0"/>
        <v>3306152</v>
      </c>
      <c r="E4" s="50">
        <f>D4*Pristalsregulering!$C$6*Pristalsregulering!$C$7</f>
        <v>3358428.8754239995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2" width="30.7109375" customWidth="1"/>
    <col min="3" max="4" width="30.7109375" style="75" customWidth="1"/>
    <col min="5" max="5" width="30.7109375" style="55" customWidth="1"/>
    <col min="6" max="6" width="9.140625" hidden="1" customWidth="1"/>
    <col min="7" max="117" width="0" hidden="1" customWidth="1"/>
    <col min="118" max="118" width="9.140625" hidden="1" customWidth="1"/>
    <col min="119" max="229" width="0" hidden="1" customWidth="1"/>
    <col min="230" max="230" width="9.140625" hidden="1" customWidth="1"/>
    <col min="231" max="341" width="0" hidden="1" customWidth="1"/>
    <col min="342" max="16384" width="9.140625" hidden="1"/>
  </cols>
  <sheetData>
    <row r="1" spans="1:5" s="27" customFormat="1" ht="15.75" thickBot="1" x14ac:dyDescent="0.3">
      <c r="A1" s="9"/>
      <c r="B1" s="33" t="s">
        <v>71</v>
      </c>
      <c r="C1" s="72" t="s">
        <v>72</v>
      </c>
      <c r="D1" s="72" t="s">
        <v>73</v>
      </c>
      <c r="E1" s="62"/>
    </row>
    <row r="2" spans="1:5" ht="30.75" thickTop="1" x14ac:dyDescent="0.25">
      <c r="A2" s="17" t="s">
        <v>13</v>
      </c>
      <c r="B2" s="34" t="s">
        <v>55</v>
      </c>
      <c r="C2" s="73" t="s">
        <v>22</v>
      </c>
      <c r="D2" s="76" t="s">
        <v>22</v>
      </c>
      <c r="E2" s="53" t="s">
        <v>23</v>
      </c>
    </row>
    <row r="3" spans="1:5" s="22" customFormat="1" x14ac:dyDescent="0.25">
      <c r="A3" s="28">
        <v>2016</v>
      </c>
      <c r="B3" s="71">
        <v>76677</v>
      </c>
      <c r="C3" s="74">
        <f>B3/Pristalsregulering!$C$8</f>
        <v>76969.484039349525</v>
      </c>
      <c r="D3" s="74">
        <f>IF(C4=0,0,AVERAGEIF(C4:C6,"&lt;&gt;0"))+C3</f>
        <v>76969.484039349525</v>
      </c>
      <c r="E3" s="56">
        <f>SUM(D3:D3)</f>
        <v>76969.484039349525</v>
      </c>
    </row>
    <row r="4" spans="1:5" x14ac:dyDescent="0.25">
      <c r="A4" s="28">
        <v>2015</v>
      </c>
      <c r="B4" s="35"/>
      <c r="C4" s="74">
        <f>B4</f>
        <v>0</v>
      </c>
      <c r="D4" s="74"/>
      <c r="E4" s="54"/>
    </row>
    <row r="5" spans="1:5" x14ac:dyDescent="0.25">
      <c r="A5" s="28">
        <v>2014</v>
      </c>
      <c r="B5" s="35">
        <v>73275</v>
      </c>
      <c r="C5" s="74">
        <f>B5*Pristalsregulering!$C$7</f>
        <v>73333.62</v>
      </c>
      <c r="D5" s="74"/>
      <c r="E5" s="45"/>
    </row>
    <row r="6" spans="1:5" x14ac:dyDescent="0.25">
      <c r="A6" s="28">
        <v>2013</v>
      </c>
      <c r="B6" s="35"/>
      <c r="C6" s="74">
        <f>B6*Pristalsregulering!$C$7*Pristalsregulering!$C$6</f>
        <v>0</v>
      </c>
      <c r="D6" s="74"/>
      <c r="E6" s="45"/>
    </row>
    <row r="7" spans="1:5" hidden="1" x14ac:dyDescent="0.25"/>
    <row r="8" spans="1:5" hidden="1" x14ac:dyDescent="0.25"/>
    <row r="9" spans="1:5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24</v>
      </c>
      <c r="C1" s="78"/>
      <c r="D1" s="78"/>
      <c r="E1" s="79" t="s">
        <v>53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25</v>
      </c>
      <c r="C2" s="20" t="s">
        <v>26</v>
      </c>
      <c r="D2" s="20" t="s">
        <v>27</v>
      </c>
      <c r="E2" s="16" t="s">
        <v>25</v>
      </c>
      <c r="F2" s="20" t="s">
        <v>26</v>
      </c>
      <c r="G2" s="46" t="s">
        <v>27</v>
      </c>
      <c r="H2" s="6" t="s">
        <v>29</v>
      </c>
    </row>
    <row r="3" spans="1:8" x14ac:dyDescent="0.25">
      <c r="A3" s="31">
        <v>2015</v>
      </c>
      <c r="B3" s="41">
        <v>10000</v>
      </c>
      <c r="C3" s="42">
        <v>25880</v>
      </c>
      <c r="D3" s="42">
        <v>0</v>
      </c>
      <c r="E3" s="41">
        <f>B3</f>
        <v>10000</v>
      </c>
      <c r="F3" s="42">
        <f t="shared" ref="F3:G3" si="0">C3</f>
        <v>25880</v>
      </c>
      <c r="G3" s="43">
        <f t="shared" si="0"/>
        <v>0</v>
      </c>
      <c r="H3" s="44">
        <f>IF(E3=0,0,AVERAGEIF(E3:E5,"&lt;&gt;0"))+IF(F3=0,0,AVERAGEIF(F3:F5,"&lt;&gt;0"))+IF(G3=0,0,AVERAGEIF(G3:G5,"&lt;&gt;0"))</f>
        <v>48366.435199999993</v>
      </c>
    </row>
    <row r="4" spans="1:8" x14ac:dyDescent="0.25">
      <c r="A4" s="31">
        <v>2014</v>
      </c>
      <c r="B4" s="41">
        <v>40000</v>
      </c>
      <c r="C4" s="42">
        <v>19600</v>
      </c>
      <c r="D4" s="42">
        <v>0</v>
      </c>
      <c r="E4" s="41">
        <f>B4*Pristalsregulering!$C$7</f>
        <v>40032</v>
      </c>
      <c r="F4" s="42">
        <f>C4*Pristalsregulering!$C$7</f>
        <v>19615.679999999997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30000</v>
      </c>
      <c r="C5" s="42">
        <v>18800</v>
      </c>
      <c r="D5" s="42">
        <v>0</v>
      </c>
      <c r="E5" s="41">
        <f>B5*Pristalsregulering!$C$7*Pristalsregulering!$C$6</f>
        <v>30474.359999999993</v>
      </c>
      <c r="F5" s="42">
        <f>C5*Pristalsregulering!$C$7*Pristalsregulering!$C$6</f>
        <v>19097.265599999995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0"/>
      <c r="B1" s="80" t="s">
        <v>66</v>
      </c>
      <c r="C1" s="80"/>
      <c r="D1" s="81"/>
      <c r="E1" s="82" t="s">
        <v>67</v>
      </c>
      <c r="F1" s="82"/>
      <c r="G1" s="82"/>
    </row>
    <row r="2" spans="1:7" s="22" customFormat="1" ht="15.75" thickTop="1" x14ac:dyDescent="0.25">
      <c r="A2" s="68" t="s">
        <v>13</v>
      </c>
      <c r="B2" s="23" t="s">
        <v>65</v>
      </c>
      <c r="C2" s="23" t="s">
        <v>1</v>
      </c>
      <c r="D2" s="28" t="s">
        <v>74</v>
      </c>
      <c r="E2" s="22" t="s">
        <v>0</v>
      </c>
      <c r="F2" s="22" t="s">
        <v>1</v>
      </c>
      <c r="G2" s="22" t="s">
        <v>74</v>
      </c>
    </row>
    <row r="3" spans="1:7" s="22" customFormat="1" x14ac:dyDescent="0.25">
      <c r="A3" s="69">
        <v>2015</v>
      </c>
      <c r="B3" s="38">
        <v>1433398.9988102983</v>
      </c>
      <c r="C3" s="38">
        <v>1209741.1416666661</v>
      </c>
      <c r="D3" s="40">
        <v>18437.933333333338</v>
      </c>
      <c r="E3" s="35">
        <f>B3*Pristalsregulering!C2*Pristalsregulering!C3*Pristalsregulering!C4*Pristalsregulering!C5*Pristalsregulering!C6*Pristalsregulering!C7</f>
        <v>1560540.0065389518</v>
      </c>
      <c r="F3" s="35">
        <v>1251494.9959545326</v>
      </c>
      <c r="G3" s="35">
        <f xml:space="preserve"> D3/Pristalsregulering!$C$8</f>
        <v>18508.264739342841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7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40</v>
      </c>
      <c r="C1" s="78"/>
      <c r="D1" s="78"/>
      <c r="E1" s="78"/>
      <c r="F1" s="79" t="s">
        <v>54</v>
      </c>
      <c r="G1" s="80"/>
      <c r="H1" s="80"/>
      <c r="I1" s="80"/>
      <c r="J1" s="83" t="s">
        <v>29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41</v>
      </c>
      <c r="C2" s="7" t="s">
        <v>42</v>
      </c>
      <c r="D2" s="7" t="s">
        <v>43</v>
      </c>
      <c r="E2" s="51" t="s">
        <v>44</v>
      </c>
      <c r="F2" s="7" t="s">
        <v>41</v>
      </c>
      <c r="G2" s="7" t="s">
        <v>42</v>
      </c>
      <c r="H2" s="7" t="s">
        <v>43</v>
      </c>
      <c r="I2" s="51" t="s">
        <v>44</v>
      </c>
      <c r="J2" s="20" t="s">
        <v>45</v>
      </c>
      <c r="K2" s="20" t="s">
        <v>42</v>
      </c>
      <c r="L2" s="15" t="s">
        <v>70</v>
      </c>
      <c r="M2" s="6" t="s">
        <v>28</v>
      </c>
      <c r="N2" s="32"/>
    </row>
    <row r="3" spans="1:14" x14ac:dyDescent="0.25">
      <c r="A3" s="28">
        <v>2015</v>
      </c>
      <c r="B3" s="45">
        <v>0</v>
      </c>
      <c r="C3" s="38">
        <v>402510</v>
      </c>
      <c r="D3" s="38">
        <v>0</v>
      </c>
      <c r="E3" s="40">
        <v>0</v>
      </c>
      <c r="F3" s="38">
        <f>B3</f>
        <v>0</v>
      </c>
      <c r="G3" s="38">
        <f>C3</f>
        <v>402510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402510</v>
      </c>
      <c r="L3" s="43">
        <f>AVERAGE(H3:H5)+AVERAGE(I3:I5)</f>
        <v>0</v>
      </c>
      <c r="M3" s="44">
        <f>SUM(J3:L3)</f>
        <v>402510</v>
      </c>
      <c r="N3" s="23"/>
    </row>
    <row r="4" spans="1:14" x14ac:dyDescent="0.25">
      <c r="A4" s="28">
        <v>2014</v>
      </c>
      <c r="B4" s="45">
        <v>0</v>
      </c>
      <c r="C4" s="38">
        <v>261516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261725.21279999998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360261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365957.44693199993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5" t="s">
        <v>30</v>
      </c>
      <c r="C1" s="65" t="s">
        <v>31</v>
      </c>
      <c r="D1" s="65" t="s">
        <v>32</v>
      </c>
      <c r="E1" s="65" t="s">
        <v>33</v>
      </c>
      <c r="F1" s="65" t="s">
        <v>34</v>
      </c>
      <c r="G1" s="65" t="s">
        <v>35</v>
      </c>
      <c r="H1" s="65" t="s">
        <v>36</v>
      </c>
      <c r="I1" s="65" t="s">
        <v>37</v>
      </c>
      <c r="J1" s="65" t="s">
        <v>38</v>
      </c>
      <c r="K1" s="65" t="s">
        <v>56</v>
      </c>
      <c r="L1" s="66" t="s">
        <v>39</v>
      </c>
      <c r="M1" s="14" t="s">
        <v>28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0</v>
      </c>
      <c r="E2" s="42">
        <v>3501954</v>
      </c>
      <c r="F2" s="42">
        <v>403632</v>
      </c>
      <c r="G2" s="42">
        <v>7173881</v>
      </c>
      <c r="H2" s="42" t="s">
        <v>46</v>
      </c>
      <c r="I2" s="42">
        <v>0</v>
      </c>
      <c r="J2" s="42">
        <v>0</v>
      </c>
      <c r="K2" s="42"/>
      <c r="L2" s="43"/>
      <c r="M2" s="44">
        <f>SUM(B2:L2)</f>
        <v>11111990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46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46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3" t="s">
        <v>57</v>
      </c>
      <c r="B2" s="64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49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50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2017-09-13T12:24:38Z</dcterms:modified>
</cp:coreProperties>
</file>