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K3" i="16" l="1"/>
  <c r="J3" i="16"/>
  <c r="I3" i="16"/>
  <c r="H3" i="16"/>
  <c r="G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H4" i="16" l="1"/>
  <c r="I4" i="16"/>
  <c r="J4" i="16"/>
  <c r="K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H5" i="16"/>
  <c r="I5" i="16"/>
  <c r="J5" i="16"/>
  <c r="K5" i="16"/>
  <c r="P3" i="16" s="1"/>
  <c r="H6" i="16"/>
  <c r="J3" i="24"/>
  <c r="M3" i="24" s="1"/>
  <c r="G5" i="16"/>
  <c r="I6" i="16"/>
  <c r="G6" i="16"/>
  <c r="K6" i="16"/>
  <c r="J6" i="16"/>
  <c r="O3" i="16" l="1"/>
  <c r="L3" i="16"/>
  <c r="N3" i="16"/>
  <c r="M3" i="16"/>
  <c r="B9" i="12"/>
  <c r="B10" i="12" s="1"/>
  <c r="H3" i="17"/>
  <c r="B4" i="12" s="1"/>
  <c r="I2" i="15"/>
  <c r="K2" i="15" s="1"/>
  <c r="B2" i="12" s="1"/>
  <c r="Q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<sst xmlns="http://schemas.openxmlformats.org/spreadsheetml/2006/main" count="121" uniqueCount="79">
  <si>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</si>
  <si>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</si>
  <si>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</si>
  <si>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</si>
  <si>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</si>
  <si>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</si>
  <si>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</si>
  <si>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</si>
  <si>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</si>
  <si>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</si>
  <si>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</si>
  <si>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</si>
  <si>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</si>
  <si>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</si>
  <si>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</si>
  <si>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</si>
  <si>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</si>
  <si>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</si>
  <si>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</si>
  <si>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</si>
  <si>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</si>
  <si>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</si>
  <si>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</si>
  <si>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</si>
  <si>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>SMS-service</t>
  </si>
  <si>
    <t>Vandspild</t>
  </si>
  <si>
    <t>Undersøgelse ved. Alternativ energikilde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</si>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</sst>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6784734.2265890324</v>
      </c>
      <c r="C2" t="s">
        <v>11</v>
      </c>
    </row>
    <row r="3" spans="1:3" s="2" customFormat="1" x14ac:dyDescent="0.25">
      <c r="A3" s="5" t="s">
        <v>8</v>
      </c>
      <c r="B3" s="37">
        <f>'Miljø- og servicemål'!Q3</f>
        <v>414815.52703333332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101828.53313333333</v>
      </c>
      <c r="C4" t="s">
        <v>11</v>
      </c>
    </row>
    <row r="5" spans="1:3" s="26" customFormat="1" x14ac:dyDescent="0.25">
      <c r="A5" s="3" t="s">
        <v>12</v>
      </c>
      <c r="B5" s="49">
        <f>SUM(B2:B4)</f>
        <v>7301378.2867556997</v>
      </c>
      <c r="C5" s="64" t="s">
        <v>11</v>
      </c>
    </row>
    <row r="6" spans="1:3" x14ac:dyDescent="0.25">
      <c r="A6" s="48" t="s">
        <v>0</v>
      </c>
      <c r="B6" s="39">
        <f>Investeringer!E3</f>
        <v>10229316.811312124</v>
      </c>
      <c r="C6" s="23" t="s">
        <v>11</v>
      </c>
    </row>
    <row r="7" spans="1:3" x14ac:dyDescent="0.25">
      <c r="A7" s="4" t="s">
        <v>1</v>
      </c>
      <c r="B7" s="36">
        <f>Investeringer!F3</f>
        <v>1339324.4617307945</v>
      </c>
      <c r="C7" t="s">
        <v>11</v>
      </c>
    </row>
    <row r="8" spans="1:3" x14ac:dyDescent="0.25">
      <c r="A8" s="4" t="s">
        <v>2</v>
      </c>
      <c r="B8" s="36">
        <f>Investeringer!G3</f>
        <v>302666.13631800842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94631</v>
      </c>
      <c r="C9" t="s">
        <v>11</v>
      </c>
    </row>
    <row r="10" spans="1:3" s="22" customFormat="1" x14ac:dyDescent="0.25">
      <c r="A10" s="3" t="s">
        <v>51</v>
      </c>
      <c r="B10" s="49">
        <f>SUM(B6:B9)</f>
        <v>11965938.409360927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12308646</v>
      </c>
      <c r="C11" t="s">
        <v>11</v>
      </c>
    </row>
    <row r="12" spans="1:3" s="22" customFormat="1" x14ac:dyDescent="0.25">
      <c r="A12" s="3" t="s">
        <v>72</v>
      </c>
      <c r="B12" s="49">
        <f>SUM(B11:B11)</f>
        <v>12308646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62</v>
      </c>
      <c r="B14" s="38">
        <f>SUM(B5,B10,B12)</f>
        <v>31575962.696116626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8">
        <f>B14*Pristalsregulering!C8*Pristalsregulering!C9</f>
        <v>31855464.908152349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63</v>
      </c>
      <c r="D1" s="61" t="s">
        <v>64</v>
      </c>
      <c r="E1" s="61" t="s">
        <v>56</v>
      </c>
      <c r="F1" s="53" t="s">
        <v>65</v>
      </c>
      <c r="G1" s="53" t="s">
        <v>73</v>
      </c>
      <c r="H1" s="53" t="s">
        <v>66</v>
      </c>
      <c r="I1" s="53" t="s">
        <v>52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50">
        <v>6041170</v>
      </c>
      <c r="C2" s="50">
        <v>0</v>
      </c>
      <c r="D2" s="50">
        <f>B2+C2</f>
        <v>6041170</v>
      </c>
      <c r="E2" s="51">
        <f>D2</f>
        <v>6041170</v>
      </c>
      <c r="F2" s="50">
        <v>8336152.2404143978</v>
      </c>
      <c r="G2" s="50">
        <v>0</v>
      </c>
      <c r="H2" s="50">
        <f>F2-G2</f>
        <v>8336152.2404143978</v>
      </c>
      <c r="I2" s="50">
        <f>AVERAGEIF(E2:E4,"&lt;&gt;0")</f>
        <v>6430540.3557813326</v>
      </c>
      <c r="J2" s="50">
        <v>6784734.2265890324</v>
      </c>
      <c r="K2" s="40">
        <f>IF(H2&gt;I2,IF(I2&gt;J2,I2,J2),H2)</f>
        <v>6784734.2265890324</v>
      </c>
    </row>
    <row r="3" spans="1:11" s="23" customFormat="1" x14ac:dyDescent="0.25">
      <c r="A3" s="28">
        <v>2014</v>
      </c>
      <c r="B3" s="50">
        <v>6779611.54</v>
      </c>
      <c r="C3" s="50"/>
      <c r="D3" s="50">
        <f t="shared" ref="D3:D4" si="0">B3+C3</f>
        <v>6779611.54</v>
      </c>
      <c r="E3" s="51">
        <f>D3*Pristalsregulering!C7</f>
        <v>6785035.2292319993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6364776</v>
      </c>
      <c r="C4" s="50"/>
      <c r="D4" s="50">
        <f t="shared" si="0"/>
        <v>6364776</v>
      </c>
      <c r="E4" s="51">
        <f>D4*Pristalsregulering!$C$6*Pristalsregulering!$C$7</f>
        <v>6465415.8381119994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W9"/>
  <sheetViews>
    <sheetView workbookViewId="0"/>
  </sheetViews>
  <sheetFormatPr defaultColWidth="0" defaultRowHeight="15" zeroHeight="1" x14ac:dyDescent="0.25"/>
  <cols>
    <col min="1" max="1" width="12.28515625" customWidth="1"/>
    <col min="2" max="6" width="30.7109375" customWidth="1"/>
    <col min="7" max="7" width="30.7109375" style="56" customWidth="1"/>
    <col min="8" max="11" width="30.7109375" customWidth="1"/>
    <col min="12" max="12" width="30.7109375" style="56" customWidth="1"/>
    <col min="13" max="16" width="30.7109375" customWidth="1"/>
    <col min="17" max="17" width="30.7109375" style="56" customWidth="1"/>
    <col min="18" max="18" width="9.140625" hidden="1" customWidth="1"/>
    <col min="19" max="50" width="0" hidden="1" customWidth="1"/>
    <col min="51" max="51" width="9.140625" hidden="1" customWidth="1"/>
    <col min="52" max="68" width="0" hidden="1" customWidth="1"/>
    <col min="69" max="69" width="9.140625" hidden="1" customWidth="1"/>
    <col min="70" max="101" width="0" hidden="1" customWidth="1"/>
    <col min="102" max="102" width="9.140625" hidden="1" customWidth="1"/>
    <col min="103" max="104" width="0" hidden="1" customWidth="1"/>
    <col min="105" max="105" width="9.140625" hidden="1" customWidth="1"/>
    <col min="106" max="121" width="0" hidden="1" customWidth="1"/>
    <col min="122" max="122" width="9.140625" hidden="1" customWidth="1"/>
    <col min="123" max="124" width="0" hidden="1" customWidth="1"/>
    <col min="125" max="126" width="9.140625" hidden="1" customWidth="1"/>
    <col min="127" max="134" width="0" hidden="1" customWidth="1"/>
    <col min="135" max="135" width="9.140625" hidden="1" customWidth="1"/>
    <col min="136" max="137" width="0" hidden="1" customWidth="1"/>
    <col min="138" max="138" width="9.140625" hidden="1" customWidth="1"/>
    <col min="139" max="154" width="0" hidden="1" customWidth="1"/>
    <col min="155" max="155" width="9.140625" hidden="1" customWidth="1"/>
    <col min="156" max="157" width="0" hidden="1" customWidth="1"/>
    <col min="158" max="159" width="9.140625" hidden="1" customWidth="1"/>
    <col min="160" max="172" width="0" hidden="1" customWidth="1"/>
    <col min="173" max="173" width="9.140625" hidden="1" customWidth="1"/>
    <col min="174" max="175" width="0" hidden="1" customWidth="1"/>
    <col min="176" max="177" width="9.140625" hidden="1" customWidth="1"/>
    <col min="178" max="185" width="0" hidden="1" customWidth="1"/>
    <col min="186" max="186" width="9.140625" hidden="1" customWidth="1"/>
    <col min="187" max="188" width="0" hidden="1" customWidth="1"/>
    <col min="189" max="189" width="9.140625" hidden="1" customWidth="1"/>
    <col min="190" max="205" width="0" hidden="1" customWidth="1"/>
    <col min="206" max="206" width="9.140625" hidden="1" customWidth="1"/>
    <col min="207" max="208" width="0" hidden="1" customWidth="1"/>
    <col min="209" max="210" width="9.140625" hidden="1" customWidth="1"/>
    <col min="211" max="211" width="0" hidden="1" customWidth="1"/>
    <col min="212" max="213" width="9.140625" hidden="1" customWidth="1"/>
    <col min="214" max="225" width="0" hidden="1" customWidth="1"/>
    <col min="226" max="226" width="9.140625" hidden="1" customWidth="1"/>
    <col min="227" max="228" width="0" hidden="1" customWidth="1"/>
    <col min="229" max="230" width="9.140625" hidden="1" customWidth="1"/>
    <col min="231" max="231" width="0" hidden="1" customWidth="1"/>
    <col min="232" max="234" width="9.140625" hidden="1" customWidth="1"/>
    <col min="235" max="238" width="0" hidden="1" customWidth="1"/>
    <col min="239" max="239" width="9.140625" hidden="1" customWidth="1"/>
    <col min="240" max="241" width="0" hidden="1" customWidth="1"/>
    <col min="242" max="243" width="9.140625" hidden="1" customWidth="1"/>
    <col min="244" max="244" width="0" hidden="1" customWidth="1"/>
    <col min="245" max="246" width="9.140625" hidden="1" customWidth="1"/>
    <col min="247" max="258" width="0" hidden="1" customWidth="1"/>
    <col min="259" max="259" width="9.140625" hidden="1" customWidth="1"/>
    <col min="260" max="261" width="0" hidden="1" customWidth="1"/>
    <col min="262" max="263" width="9.140625" hidden="1" customWidth="1"/>
    <col min="264" max="264" width="0" hidden="1" customWidth="1"/>
    <col min="265" max="267" width="9.140625" hidden="1" customWidth="1"/>
    <col min="268" max="276" width="0" hidden="1" customWidth="1"/>
    <col min="277" max="277" width="9.140625" hidden="1" customWidth="1"/>
    <col min="278" max="279" width="0" hidden="1" customWidth="1"/>
    <col min="280" max="281" width="9.140625" hidden="1" customWidth="1"/>
    <col min="282" max="282" width="0" hidden="1" customWidth="1"/>
    <col min="283" max="285" width="9.140625" hidden="1" customWidth="1"/>
    <col min="286" max="289" width="0" hidden="1" customWidth="1"/>
    <col min="290" max="290" width="9.140625" hidden="1" customWidth="1"/>
    <col min="291" max="292" width="0" hidden="1" customWidth="1"/>
    <col min="293" max="294" width="9.140625" hidden="1" customWidth="1"/>
    <col min="295" max="295" width="0" hidden="1" customWidth="1"/>
    <col min="296" max="297" width="9.140625" hidden="1" customWidth="1"/>
    <col min="298" max="309" width="0" hidden="1" customWidth="1"/>
    <col min="310" max="310" width="9.140625" hidden="1" customWidth="1"/>
    <col min="311" max="312" width="0" hidden="1" customWidth="1"/>
    <col min="313" max="314" width="9.140625" hidden="1" customWidth="1"/>
    <col min="315" max="315" width="0" hidden="1" customWidth="1"/>
    <col min="316" max="321" width="9.140625" hidden="1" customWidth="1"/>
    <col min="322" max="329" width="0" hidden="1" customWidth="1"/>
    <col min="330" max="330" width="9.140625" hidden="1" customWidth="1"/>
    <col min="331" max="332" width="0" hidden="1" customWidth="1"/>
    <col min="333" max="334" width="9.140625" hidden="1" customWidth="1"/>
    <col min="335" max="335" width="0" hidden="1" customWidth="1"/>
    <col min="336" max="16384" width="9.140625" hidden="1"/>
  </cols>
  <sheetData>
    <row r="1" spans="1:17" s="27" customFormat="1" ht="15.75" thickBot="1" x14ac:dyDescent="0.3">
      <c r="A1" s="9"/>
      <c r="B1" s="33" t="s">
        <v>75</v>
      </c>
      <c r="C1" s="33"/>
      <c r="D1" s="33"/>
      <c r="E1" s="33"/>
      <c r="F1" s="33"/>
      <c r="G1" s="76" t="s">
        <v>76</v>
      </c>
      <c r="H1" s="10"/>
      <c r="I1" s="10"/>
      <c r="J1" s="10"/>
      <c r="K1" s="10"/>
      <c r="L1" s="76" t="s">
        <v>77</v>
      </c>
      <c r="M1" s="33"/>
      <c r="N1" s="10"/>
      <c r="O1" s="10"/>
      <c r="P1" s="10"/>
      <c r="Q1" s="65"/>
    </row>
    <row r="2" spans="1:17" ht="30.75" thickTop="1" x14ac:dyDescent="0.25">
      <c r="A2" s="17" t="s">
        <v>13</v>
      </c>
      <c r="B2" s="34" t="s">
        <v>59</v>
      </c>
      <c r="C2" s="35" t="s">
        <v>23</v>
      </c>
      <c r="D2" s="35" t="s">
        <v>24</v>
      </c>
      <c r="E2" s="35" t="s">
        <v>25</v>
      </c>
      <c r="F2" s="35" t="s">
        <v>26</v>
      </c>
      <c r="G2" s="57" t="s">
        <v>22</v>
      </c>
      <c r="H2" s="35" t="s">
        <v>23</v>
      </c>
      <c r="I2" s="35" t="s">
        <v>24</v>
      </c>
      <c r="J2" s="35" t="s">
        <v>25</v>
      </c>
      <c r="K2" s="35" t="s">
        <v>26</v>
      </c>
      <c r="L2" s="58" t="s">
        <v>22</v>
      </c>
      <c r="M2" s="35" t="s">
        <v>23</v>
      </c>
      <c r="N2" s="35" t="s">
        <v>24</v>
      </c>
      <c r="O2" s="35" t="s">
        <v>25</v>
      </c>
      <c r="P2" s="35" t="s">
        <v>26</v>
      </c>
      <c r="Q2" s="54" t="s">
        <v>27</v>
      </c>
    </row>
    <row r="3" spans="1:17" s="22" customFormat="1" x14ac:dyDescent="0.25">
      <c r="A3" s="28">
        <v>2016</v>
      </c>
      <c r="B3" s="74">
        <v>0</v>
      </c>
      <c r="C3" s="75">
        <v>0</v>
      </c>
      <c r="D3" s="75">
        <v>0</v>
      </c>
      <c r="E3" s="75">
        <v>0</v>
      </c>
      <c r="F3" s="75">
        <v>0</v>
      </c>
      <c r="G3" s="46">
        <f>B3/Pristalsregulering!$C$8</f>
        <v>0</v>
      </c>
      <c r="H3" s="36">
        <f>C3/Pristalsregulering!$C$8</f>
        <v>0</v>
      </c>
      <c r="I3" s="36">
        <f>D3/Pristalsregulering!$C$8</f>
        <v>0</v>
      </c>
      <c r="J3" s="36">
        <f>E3/Pristalsregulering!$C$8</f>
        <v>0</v>
      </c>
      <c r="K3" s="36">
        <f>F3/Pristalsregulering!$C$8</f>
        <v>0</v>
      </c>
      <c r="L3" s="46">
        <f>IF(G4=0,0,AVERAGEIF(G4:G6,"&lt;&gt;0"))+G3</f>
        <v>272232.12903333333</v>
      </c>
      <c r="M3" s="39">
        <f t="shared" ref="M3" si="0">IF(H4=0,0,AVERAGEIF(H4:H6,"&lt;&gt;0"))+H3</f>
        <v>0</v>
      </c>
      <c r="N3" s="39">
        <f>IF(I4=0,0,AVERAGEIF(I4:I6,"&lt;&gt;0"))+I3</f>
        <v>31648.548999999999</v>
      </c>
      <c r="O3" s="39">
        <f>IF(J4=0,0,AVERAGEIF(J4:J6,"&lt;&gt;0"))+J3</f>
        <v>54064.849000000002</v>
      </c>
      <c r="P3" s="39">
        <f>IF(K4=0,0,AVERAGEIF(K4:K6,"&lt;&gt;0"))+K3</f>
        <v>56870</v>
      </c>
      <c r="Q3" s="59">
        <f>SUM(L3:P3)</f>
        <v>414815.52703333332</v>
      </c>
    </row>
    <row r="4" spans="1:17" x14ac:dyDescent="0.25">
      <c r="A4" s="28">
        <v>2015</v>
      </c>
      <c r="B4" s="36">
        <v>123940</v>
      </c>
      <c r="C4" s="36"/>
      <c r="D4" s="36">
        <v>48788</v>
      </c>
      <c r="E4" s="36">
        <v>61595</v>
      </c>
      <c r="F4" s="36">
        <v>56870</v>
      </c>
      <c r="G4" s="46">
        <f>B4</f>
        <v>123940</v>
      </c>
      <c r="H4" s="36">
        <f t="shared" ref="H4" si="1">C4</f>
        <v>0</v>
      </c>
      <c r="I4" s="36">
        <f>D4</f>
        <v>48788</v>
      </c>
      <c r="J4" s="36">
        <f>E4</f>
        <v>61595</v>
      </c>
      <c r="K4" s="36">
        <f>F4</f>
        <v>56870</v>
      </c>
      <c r="L4" s="46"/>
      <c r="M4" s="39"/>
      <c r="N4" s="39"/>
      <c r="O4" s="39"/>
      <c r="P4" s="39"/>
      <c r="Q4" s="55"/>
    </row>
    <row r="5" spans="1:17" x14ac:dyDescent="0.25">
      <c r="A5" s="28">
        <v>2014</v>
      </c>
      <c r="B5" s="36">
        <v>251961.60000000001</v>
      </c>
      <c r="C5" s="36"/>
      <c r="D5" s="36">
        <v>14497.5</v>
      </c>
      <c r="E5" s="36">
        <v>46497.5</v>
      </c>
      <c r="F5" s="36"/>
      <c r="G5" s="46">
        <f>B5*Pristalsregulering!$C$7</f>
        <v>252163.16927999997</v>
      </c>
      <c r="H5" s="36">
        <f>C5*Pristalsregulering!$C$7</f>
        <v>0</v>
      </c>
      <c r="I5" s="36">
        <f>D5*Pristalsregulering!$C$7</f>
        <v>14509.097999999998</v>
      </c>
      <c r="J5" s="36">
        <f>E5*Pristalsregulering!$C$7</f>
        <v>46534.697999999997</v>
      </c>
      <c r="K5" s="36">
        <f>F5*Pristalsregulering!$C$7</f>
        <v>0</v>
      </c>
      <c r="L5" s="46"/>
      <c r="M5" s="36"/>
      <c r="N5" s="36"/>
      <c r="O5" s="36"/>
      <c r="P5" s="36"/>
      <c r="Q5" s="46"/>
    </row>
    <row r="6" spans="1:17" x14ac:dyDescent="0.25">
      <c r="A6" s="28">
        <v>2013</v>
      </c>
      <c r="B6" s="36">
        <v>433735</v>
      </c>
      <c r="C6" s="36">
        <v>216731</v>
      </c>
      <c r="D6" s="36"/>
      <c r="E6" s="36"/>
      <c r="F6" s="36"/>
      <c r="G6" s="46">
        <f>B6*Pristalsregulering!$C$7*Pristalsregulering!$C$6</f>
        <v>440593.2178199999</v>
      </c>
      <c r="H6" s="36">
        <f>C6*Pristalsregulering!$C$7*Pristalsregulering!$C$6</f>
        <v>220157.95057199994</v>
      </c>
      <c r="I6" s="36">
        <f>D6*Pristalsregulering!$C$7*Pristalsregulering!$C$6</f>
        <v>0</v>
      </c>
      <c r="J6" s="36">
        <f>E6*Pristalsregulering!$C$7*Pristalsregulering!$C$6</f>
        <v>0</v>
      </c>
      <c r="K6" s="36">
        <f>F6*Pristalsregulering!$C$7*Pristalsregulering!$C$6</f>
        <v>0</v>
      </c>
      <c r="L6" s="46"/>
      <c r="M6" s="36"/>
      <c r="N6" s="36"/>
      <c r="O6" s="36"/>
      <c r="P6" s="36"/>
      <c r="Q6" s="46"/>
    </row>
    <row r="7" spans="1:17" hidden="1" x14ac:dyDescent="0.25"/>
    <row r="8" spans="1:17" hidden="1" x14ac:dyDescent="0.25"/>
    <row r="9" spans="1:17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28</v>
      </c>
      <c r="C1" s="78"/>
      <c r="D1" s="78"/>
      <c r="E1" s="79" t="s">
        <v>57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29</v>
      </c>
      <c r="C2" s="20" t="s">
        <v>30</v>
      </c>
      <c r="D2" s="20" t="s">
        <v>31</v>
      </c>
      <c r="E2" s="16" t="s">
        <v>29</v>
      </c>
      <c r="F2" s="20" t="s">
        <v>30</v>
      </c>
      <c r="G2" s="47" t="s">
        <v>31</v>
      </c>
      <c r="H2" s="6" t="s">
        <v>33</v>
      </c>
    </row>
    <row r="3" spans="1:8" x14ac:dyDescent="0.25">
      <c r="A3" s="31">
        <v>2015</v>
      </c>
      <c r="B3" s="42">
        <v>9500</v>
      </c>
      <c r="C3" s="43">
        <v>103520</v>
      </c>
      <c r="D3" s="43">
        <v>0</v>
      </c>
      <c r="E3" s="42">
        <f>B3</f>
        <v>9500</v>
      </c>
      <c r="F3" s="43">
        <f t="shared" ref="F3:G3" si="0">C3</f>
        <v>103520</v>
      </c>
      <c r="G3" s="44">
        <f t="shared" si="0"/>
        <v>0</v>
      </c>
      <c r="H3" s="45">
        <f>IF(E3=0,0,AVERAGEIF(E3:E5,"&lt;&gt;0"))+IF(F3=0,0,AVERAGEIF(F3:F5,"&lt;&gt;0"))+IF(G3=0,0,AVERAGEIF(G3:G5,"&lt;&gt;0"))</f>
        <v>101828.53313333333</v>
      </c>
    </row>
    <row r="4" spans="1:8" x14ac:dyDescent="0.25">
      <c r="A4" s="31">
        <v>2014</v>
      </c>
      <c r="B4" s="42">
        <v>15000</v>
      </c>
      <c r="C4" s="43">
        <v>78400</v>
      </c>
      <c r="D4" s="43">
        <v>0</v>
      </c>
      <c r="E4" s="42">
        <f>B4*Pristalsregulering!$C$7</f>
        <v>15011.999999999998</v>
      </c>
      <c r="F4" s="43">
        <f>C4*Pristalsregulering!$C$7</f>
        <v>78462.719999999987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22250</v>
      </c>
      <c r="C5" s="43">
        <v>75200</v>
      </c>
      <c r="D5" s="43">
        <v>0</v>
      </c>
      <c r="E5" s="42">
        <f>B5*Pristalsregulering!$C$7*Pristalsregulering!$C$6</f>
        <v>22601.816999999995</v>
      </c>
      <c r="F5" s="43">
        <f>C5*Pristalsregulering!$C$7*Pristalsregulering!$C$6</f>
        <v>76389.062399999981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70</v>
      </c>
      <c r="C1" s="80"/>
      <c r="D1" s="81"/>
      <c r="E1" s="82" t="s">
        <v>71</v>
      </c>
      <c r="F1" s="82"/>
      <c r="G1" s="82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78</v>
      </c>
      <c r="E2" s="22" t="s">
        <v>0</v>
      </c>
      <c r="F2" s="22" t="s">
        <v>1</v>
      </c>
      <c r="G2" s="22" t="s">
        <v>78</v>
      </c>
    </row>
    <row r="3" spans="1:7" s="22" customFormat="1" x14ac:dyDescent="0.25">
      <c r="A3" s="72">
        <v>2015</v>
      </c>
      <c r="B3" s="39">
        <v>9395909.3739402723</v>
      </c>
      <c r="C3" s="39">
        <v>1318300.5849999997</v>
      </c>
      <c r="D3" s="41">
        <v>301516.005</v>
      </c>
      <c r="E3" s="36">
        <f>B3*Pristalsregulering!C2*Pristalsregulering!C3*Pristalsregulering!C4*Pristalsregulering!C5*Pristalsregulering!C6*Pristalsregulering!C7</f>
        <v>10229316.811312124</v>
      </c>
      <c r="F3" s="36">
        <v>1339324.4617307945</v>
      </c>
      <c r="G3" s="36">
        <f xml:space="preserve"> D3/Pristalsregulering!$C$8</f>
        <v>302666.13631800842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44</v>
      </c>
      <c r="C1" s="78"/>
      <c r="D1" s="78"/>
      <c r="E1" s="78"/>
      <c r="F1" s="79" t="s">
        <v>58</v>
      </c>
      <c r="G1" s="80"/>
      <c r="H1" s="80"/>
      <c r="I1" s="80"/>
      <c r="J1" s="83" t="s">
        <v>33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2" t="s">
        <v>48</v>
      </c>
      <c r="F2" s="7" t="s">
        <v>45</v>
      </c>
      <c r="G2" s="7" t="s">
        <v>46</v>
      </c>
      <c r="H2" s="7" t="s">
        <v>47</v>
      </c>
      <c r="I2" s="52" t="s">
        <v>48</v>
      </c>
      <c r="J2" s="20" t="s">
        <v>49</v>
      </c>
      <c r="K2" s="20" t="s">
        <v>46</v>
      </c>
      <c r="L2" s="15" t="s">
        <v>74</v>
      </c>
      <c r="M2" s="6" t="s">
        <v>32</v>
      </c>
      <c r="N2" s="32"/>
    </row>
    <row r="3" spans="1:14" x14ac:dyDescent="0.25">
      <c r="A3" s="28">
        <v>2015</v>
      </c>
      <c r="B3" s="46">
        <v>0</v>
      </c>
      <c r="C3" s="39">
        <v>94631</v>
      </c>
      <c r="D3" s="39">
        <v>0</v>
      </c>
      <c r="E3" s="41">
        <v>0</v>
      </c>
      <c r="F3" s="39">
        <f>B3</f>
        <v>0</v>
      </c>
      <c r="G3" s="39">
        <f>C3</f>
        <v>94631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94631</v>
      </c>
      <c r="L3" s="44">
        <f>AVERAGE(H3:H5)+AVERAGE(I3:I5)</f>
        <v>0</v>
      </c>
      <c r="M3" s="45">
        <f>SUM(J3:L3)</f>
        <v>94631</v>
      </c>
      <c r="N3" s="23"/>
    </row>
    <row r="4" spans="1:14" x14ac:dyDescent="0.25">
      <c r="A4" s="28">
        <v>2014</v>
      </c>
      <c r="B4" s="46">
        <v>0</v>
      </c>
      <c r="C4" s="39">
        <v>104343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104426.47439999999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119696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121588.63315199998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34</v>
      </c>
      <c r="C1" s="68" t="s">
        <v>35</v>
      </c>
      <c r="D1" s="68" t="s">
        <v>36</v>
      </c>
      <c r="E1" s="68" t="s">
        <v>37</v>
      </c>
      <c r="F1" s="68" t="s">
        <v>38</v>
      </c>
      <c r="G1" s="68" t="s">
        <v>39</v>
      </c>
      <c r="H1" s="68" t="s">
        <v>40</v>
      </c>
      <c r="I1" s="68" t="s">
        <v>41</v>
      </c>
      <c r="J1" s="68" t="s">
        <v>42</v>
      </c>
      <c r="K1" s="68" t="s">
        <v>60</v>
      </c>
      <c r="L1" s="69" t="s">
        <v>43</v>
      </c>
      <c r="M1" s="14" t="s">
        <v>32</v>
      </c>
    </row>
    <row r="2" spans="1:13" ht="15.75" thickTop="1" x14ac:dyDescent="0.25">
      <c r="A2" s="31">
        <v>2015</v>
      </c>
      <c r="B2" s="43">
        <v>16261</v>
      </c>
      <c r="C2" s="43">
        <v>18073</v>
      </c>
      <c r="D2" s="43">
        <v>35504</v>
      </c>
      <c r="E2" s="43">
        <v>0</v>
      </c>
      <c r="F2" s="43">
        <v>0</v>
      </c>
      <c r="G2" s="43">
        <v>12238808</v>
      </c>
      <c r="H2" s="43" t="s">
        <v>50</v>
      </c>
      <c r="I2" s="43">
        <v>0</v>
      </c>
      <c r="J2" s="43">
        <v>0</v>
      </c>
      <c r="K2" s="43"/>
      <c r="L2" s="44"/>
      <c r="M2" s="45">
        <f>SUM(B2:L2)</f>
        <v>12308646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2017-09-13T12:24:56Z</dcterms:modified>
</cp:coreProperties>
</file>