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M3" i="16" l="1"/>
  <c r="L3" i="16"/>
  <c r="K3" i="16"/>
  <c r="J3" i="16"/>
  <c r="I3" i="16"/>
  <c r="H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M4" i="16" l="1"/>
  <c r="F3" i="17" l="1"/>
  <c r="G3" i="17"/>
  <c r="I4" i="16" l="1"/>
  <c r="J4" i="16"/>
  <c r="K4" i="16"/>
  <c r="L4" i="16"/>
  <c r="H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M6" i="16"/>
  <c r="M5" i="16"/>
  <c r="S3" i="16" s="1"/>
  <c r="G5" i="17"/>
  <c r="F4" i="17"/>
  <c r="E5" i="17"/>
  <c r="G4" i="17"/>
  <c r="E4" i="17"/>
  <c r="F5" i="17"/>
  <c r="I5" i="16"/>
  <c r="O3" i="16" s="1"/>
  <c r="K5" i="16"/>
  <c r="I6" i="16"/>
  <c r="L5" i="16"/>
  <c r="K6" i="16"/>
  <c r="J3" i="24"/>
  <c r="H5" i="16"/>
  <c r="L6" i="16"/>
  <c r="H6" i="16"/>
  <c r="J5" i="16"/>
  <c r="J6" i="16"/>
  <c r="M3" i="24" l="1"/>
  <c r="B9" i="12" s="1"/>
  <c r="B10" i="12" s="1"/>
  <c r="Q3" i="16"/>
  <c r="P3" i="16"/>
  <c r="N3" i="16"/>
  <c r="R3" i="16"/>
  <c r="H3" i="17"/>
  <c r="B4" i="12" s="1"/>
  <c r="I2" i="15"/>
  <c r="K2" i="15" s="1"/>
  <c r="B2" i="12" s="1"/>
  <c r="T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<sst xmlns="http://schemas.openxmlformats.org/spreadsheetml/2006/main" count="124" uniqueCount="80">
  <si>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</si>
  <si>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</si>
  <si>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</si>
  <si>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</si>
  <si>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</si>
  <si>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</si>
  <si>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</si>
  <si>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</si>
  <si>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</si>
  <si>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</si>
  <si>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</si>
  <si>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</si>
  <si>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</si>
  <si>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</si>
  <si>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</si>
  <si>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</si>
  <si>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</si>
  <si>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</si>
  <si>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</si>
  <si>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</si>
  <si>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</si>
  <si>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</si>
  <si>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</si>
  <si>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Bedre drikkevand/analyser</t>
  </si>
  <si>
    <t>Ledelsessystem</t>
  </si>
  <si>
    <t>Vandbesparende tiltag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</si>
  <si>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</si>
  <si>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</si>
  <si>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</si>
  <si>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</si>
  <si>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</si>
  <si>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</si>
  <si>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</si>
  <si>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</si>
  <si>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</si>
  <si>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</si>
  <si>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</si>
  <si>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</si>
  <si>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</si>
  <si>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</si>
  <si>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</si>
  <si>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</si>
  <si>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</si>
  <si>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</si>
  <si>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</si>
  <si>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</si>
  <si>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</si>
  <si>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</si>
  <si>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</si>
  <si>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</si>
  <si>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</si>
  <si>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</si>
  <si>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</si>
  <si>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Certificering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</si>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</sst>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16821728.892423879</v>
      </c>
      <c r="C2" t="s">
        <v>11</v>
      </c>
    </row>
    <row r="3" spans="1:3" s="2" customFormat="1" x14ac:dyDescent="0.25">
      <c r="A3" s="5" t="s">
        <v>8</v>
      </c>
      <c r="B3" s="37">
        <f>'Miljø- og servicemål'!T3</f>
        <v>761441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158931.73933333333</v>
      </c>
      <c r="C4" t="s">
        <v>11</v>
      </c>
    </row>
    <row r="5" spans="1:3" s="26" customFormat="1" x14ac:dyDescent="0.25">
      <c r="A5" s="3" t="s">
        <v>12</v>
      </c>
      <c r="B5" s="49">
        <f>SUM(B2:B4)</f>
        <v>17742101.631757211</v>
      </c>
      <c r="C5" s="64" t="s">
        <v>11</v>
      </c>
    </row>
    <row r="6" spans="1:3" x14ac:dyDescent="0.25">
      <c r="A6" s="48" t="s">
        <v>0</v>
      </c>
      <c r="B6" s="39">
        <f>Investeringer!E3</f>
        <v>6878874.9563719574</v>
      </c>
      <c r="C6" s="23" t="s">
        <v>11</v>
      </c>
    </row>
    <row r="7" spans="1:3" x14ac:dyDescent="0.25">
      <c r="A7" s="4" t="s">
        <v>1</v>
      </c>
      <c r="B7" s="36">
        <f>Investeringer!F3</f>
        <v>2119823.9464365975</v>
      </c>
      <c r="C7" t="s">
        <v>11</v>
      </c>
    </row>
    <row r="8" spans="1:3" x14ac:dyDescent="0.25">
      <c r="A8" s="4" t="s">
        <v>2</v>
      </c>
      <c r="B8" s="36">
        <f>Investeringer!G3</f>
        <v>1005550.4584086196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177286</v>
      </c>
      <c r="C9" t="s">
        <v>11</v>
      </c>
    </row>
    <row r="10" spans="1:3" s="22" customFormat="1" x14ac:dyDescent="0.25">
      <c r="A10" s="3" t="s">
        <v>51</v>
      </c>
      <c r="B10" s="49">
        <f>SUM(B6:B9)</f>
        <v>10181535.361217175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26749976</v>
      </c>
      <c r="C11" t="s">
        <v>11</v>
      </c>
    </row>
    <row r="12" spans="1:3" s="22" customFormat="1" x14ac:dyDescent="0.25">
      <c r="A12" s="3" t="s">
        <v>73</v>
      </c>
      <c r="B12" s="49">
        <f>SUM(B11:B11)</f>
        <v>26749976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63</v>
      </c>
      <c r="B14" s="38">
        <f>SUM(B5,B10,B12)</f>
        <v>54673612.992974386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56</v>
      </c>
      <c r="B16" s="38">
        <f>B14*Pristalsregulering!C8*Pristalsregulering!C9</f>
        <v>55157569.60004881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64</v>
      </c>
      <c r="D1" s="61" t="s">
        <v>65</v>
      </c>
      <c r="E1" s="61" t="s">
        <v>57</v>
      </c>
      <c r="F1" s="53" t="s">
        <v>66</v>
      </c>
      <c r="G1" s="53" t="s">
        <v>74</v>
      </c>
      <c r="H1" s="53" t="s">
        <v>67</v>
      </c>
      <c r="I1" s="53" t="s">
        <v>52</v>
      </c>
      <c r="J1" s="11" t="s">
        <v>68</v>
      </c>
      <c r="K1" s="11" t="s">
        <v>69</v>
      </c>
    </row>
    <row r="2" spans="1:11" s="23" customFormat="1" ht="15.75" thickTop="1" x14ac:dyDescent="0.25">
      <c r="A2" s="28">
        <v>2015</v>
      </c>
      <c r="B2" s="50">
        <v>14279511</v>
      </c>
      <c r="C2" s="50">
        <v>0</v>
      </c>
      <c r="D2" s="50">
        <f>B2+C2</f>
        <v>14279511</v>
      </c>
      <c r="E2" s="51">
        <f>D2</f>
        <v>14279511</v>
      </c>
      <c r="F2" s="50">
        <v>17163716.779213496</v>
      </c>
      <c r="G2" s="50">
        <v>0</v>
      </c>
      <c r="H2" s="50">
        <f>F2-G2</f>
        <v>17163716.779213496</v>
      </c>
      <c r="I2" s="50">
        <f>AVERAGEIF(E2:E4,"&lt;&gt;0")</f>
        <v>16821728.892423879</v>
      </c>
      <c r="J2" s="50">
        <v>12513396.722446404</v>
      </c>
      <c r="K2" s="40">
        <f>IF(H2&gt;I2,IF(I2&gt;J2,I2,J2),H2)</f>
        <v>16821728.892423879</v>
      </c>
    </row>
    <row r="3" spans="1:11" s="23" customFormat="1" x14ac:dyDescent="0.25">
      <c r="A3" s="28">
        <v>2014</v>
      </c>
      <c r="B3" s="50">
        <v>17494026</v>
      </c>
      <c r="C3" s="50"/>
      <c r="D3" s="50">
        <f t="shared" ref="D3:D4" si="0">B3+C3</f>
        <v>17494026</v>
      </c>
      <c r="E3" s="51">
        <f>D3*Pristalsregulering!C7</f>
        <v>17508021.220799997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18386920.469999999</v>
      </c>
      <c r="C4" s="50"/>
      <c r="D4" s="50">
        <f t="shared" si="0"/>
        <v>18386920.469999999</v>
      </c>
      <c r="E4" s="51">
        <f>D4*Pristalsregulering!$C$6*Pristalsregulering!$C$7</f>
        <v>18677654.456471633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Q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22" customWidth="1"/>
    <col min="8" max="8" width="30.7109375" style="56" customWidth="1"/>
    <col min="9" max="12" width="30.7109375" customWidth="1"/>
    <col min="13" max="13" width="30.7109375" style="22" customWidth="1"/>
    <col min="14" max="14" width="30.7109375" style="56" customWidth="1"/>
    <col min="15" max="18" width="30.7109375" customWidth="1"/>
    <col min="19" max="19" width="30.7109375" style="22" customWidth="1"/>
    <col min="20" max="20" width="30.7109375" style="56" customWidth="1"/>
    <col min="21" max="21" width="9.140625" hidden="1" customWidth="1"/>
    <col min="22" max="23" width="0" hidden="1" customWidth="1"/>
    <col min="24" max="24" width="9.140625" hidden="1" customWidth="1"/>
    <col min="25" max="105" width="0" hidden="1" customWidth="1"/>
    <col min="106" max="106" width="9.140625" hidden="1" customWidth="1"/>
    <col min="107" max="108" width="0" hidden="1" customWidth="1"/>
    <col min="109" max="109" width="9.140625" hidden="1" customWidth="1"/>
    <col min="110" max="117" width="0" hidden="1" customWidth="1"/>
    <col min="118" max="118" width="9.140625" hidden="1" customWidth="1"/>
    <col min="119" max="120" width="0" hidden="1" customWidth="1"/>
    <col min="121" max="122" width="9.140625" hidden="1" customWidth="1"/>
    <col min="123" max="123" width="0" hidden="1" customWidth="1"/>
    <col min="124" max="124" width="9.140625" hidden="1" customWidth="1"/>
    <col min="125" max="126" width="0" hidden="1" customWidth="1"/>
    <col min="127" max="128" width="9.140625" hidden="1" customWidth="1"/>
    <col min="129" max="129" width="0" hidden="1" customWidth="1"/>
    <col min="130" max="131" width="9.140625" hidden="1" customWidth="1"/>
    <col min="132" max="190" width="0" hidden="1" customWidth="1"/>
    <col min="191" max="191" width="9.140625" hidden="1" customWidth="1"/>
    <col min="192" max="193" width="0" hidden="1" customWidth="1"/>
    <col min="194" max="194" width="9.140625" hidden="1" customWidth="1"/>
    <col min="195" max="202" width="0" hidden="1" customWidth="1"/>
    <col min="203" max="203" width="9.140625" hidden="1" customWidth="1"/>
    <col min="204" max="205" width="0" hidden="1" customWidth="1"/>
    <col min="206" max="207" width="9.140625" hidden="1" customWidth="1"/>
    <col min="208" max="208" width="0" hidden="1" customWidth="1"/>
    <col min="209" max="209" width="9.140625" hidden="1" customWidth="1"/>
    <col min="210" max="211" width="0" hidden="1" customWidth="1"/>
    <col min="212" max="213" width="9.140625" hidden="1" customWidth="1"/>
    <col min="214" max="214" width="0" hidden="1" customWidth="1"/>
    <col min="215" max="216" width="9.140625" hidden="1" customWidth="1"/>
    <col min="217" max="217" width="0" hidden="1" customWidth="1"/>
    <col min="218" max="219" width="9.140625" hidden="1" customWidth="1"/>
    <col min="220" max="220" width="0" hidden="1" customWidth="1"/>
    <col min="221" max="221" width="9.140625" hidden="1" customWidth="1"/>
    <col min="222" max="223" width="0" hidden="1" customWidth="1"/>
    <col min="224" max="225" width="9.140625" hidden="1" customWidth="1"/>
    <col min="226" max="226" width="0" hidden="1" customWidth="1"/>
    <col min="227" max="231" width="9.140625" hidden="1" customWidth="1"/>
    <col min="232" max="232" width="0" hidden="1" customWidth="1"/>
    <col min="233" max="238" width="9.140625" hidden="1" customWidth="1"/>
    <col min="239" max="275" width="0" hidden="1" customWidth="1"/>
    <col min="276" max="276" width="9.140625" hidden="1" customWidth="1"/>
    <col min="277" max="278" width="0" hidden="1" customWidth="1"/>
    <col min="279" max="279" width="9.140625" hidden="1" customWidth="1"/>
    <col min="280" max="287" width="0" hidden="1" customWidth="1"/>
    <col min="288" max="288" width="9.140625" hidden="1" customWidth="1"/>
    <col min="289" max="290" width="0" hidden="1" customWidth="1"/>
    <col min="291" max="292" width="9.140625" hidden="1" customWidth="1"/>
    <col min="293" max="293" width="0" hidden="1" customWidth="1"/>
    <col min="294" max="294" width="9.140625" hidden="1" customWidth="1"/>
    <col min="295" max="296" width="0" hidden="1" customWidth="1"/>
    <col min="297" max="298" width="9.140625" hidden="1" customWidth="1"/>
    <col min="299" max="299" width="0" hidden="1" customWidth="1"/>
    <col min="300" max="301" width="9.140625" hidden="1" customWidth="1"/>
    <col min="302" max="302" width="0" hidden="1" customWidth="1"/>
    <col min="303" max="304" width="9.140625" hidden="1" customWidth="1"/>
    <col min="305" max="305" width="0" hidden="1" customWidth="1"/>
    <col min="306" max="306" width="9.140625" hidden="1" customWidth="1"/>
    <col min="307" max="308" width="0" hidden="1" customWidth="1"/>
    <col min="309" max="310" width="9.140625" hidden="1" customWidth="1"/>
    <col min="311" max="311" width="0" hidden="1" customWidth="1"/>
    <col min="312" max="316" width="9.140625" hidden="1" customWidth="1"/>
    <col min="317" max="317" width="0" hidden="1" customWidth="1"/>
    <col min="318" max="328" width="9.140625" hidden="1" customWidth="1"/>
    <col min="329" max="329" width="0" hidden="1" customWidth="1"/>
    <col min="330" max="16384" width="9.140625" hidden="1"/>
  </cols>
  <sheetData>
    <row r="1" spans="1:20" s="27" customFormat="1" ht="15.75" thickBot="1" x14ac:dyDescent="0.3">
      <c r="A1" s="9"/>
      <c r="B1" s="33" t="s">
        <v>76</v>
      </c>
      <c r="C1" s="33"/>
      <c r="D1" s="33"/>
      <c r="E1" s="33"/>
      <c r="F1" s="33"/>
      <c r="G1" s="33"/>
      <c r="H1" s="76" t="s">
        <v>77</v>
      </c>
      <c r="I1" s="77"/>
      <c r="J1" s="10"/>
      <c r="K1" s="10"/>
      <c r="L1" s="10"/>
      <c r="M1" s="10"/>
      <c r="N1" s="76" t="s">
        <v>78</v>
      </c>
      <c r="O1" s="77"/>
      <c r="P1" s="10"/>
      <c r="Q1" s="10"/>
      <c r="R1" s="10"/>
      <c r="S1" s="10"/>
      <c r="T1" s="65"/>
    </row>
    <row r="2" spans="1:20" ht="30.75" thickTop="1" x14ac:dyDescent="0.25">
      <c r="A2" s="17" t="s">
        <v>13</v>
      </c>
      <c r="B2" s="34" t="s">
        <v>60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53</v>
      </c>
      <c r="H2" s="57" t="s">
        <v>22</v>
      </c>
      <c r="I2" s="35" t="s">
        <v>23</v>
      </c>
      <c r="J2" s="35" t="s">
        <v>24</v>
      </c>
      <c r="K2" s="35" t="s">
        <v>25</v>
      </c>
      <c r="L2" s="35" t="s">
        <v>26</v>
      </c>
      <c r="M2" s="35" t="s">
        <v>53</v>
      </c>
      <c r="N2" s="58" t="s">
        <v>22</v>
      </c>
      <c r="O2" s="35" t="s">
        <v>23</v>
      </c>
      <c r="P2" s="35" t="s">
        <v>24</v>
      </c>
      <c r="Q2" s="35" t="s">
        <v>25</v>
      </c>
      <c r="R2" s="35" t="s">
        <v>26</v>
      </c>
      <c r="S2" s="35" t="s">
        <v>53</v>
      </c>
      <c r="T2" s="54" t="s">
        <v>27</v>
      </c>
    </row>
    <row r="3" spans="1:20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75">
        <v>0</v>
      </c>
      <c r="G3" s="75">
        <v>0</v>
      </c>
      <c r="H3" s="46">
        <f>B3/Pristalsregulering!$C$8</f>
        <v>0</v>
      </c>
      <c r="I3" s="36">
        <f>C3/Pristalsregulering!$C$8</f>
        <v>0</v>
      </c>
      <c r="J3" s="36">
        <f>D3/Pristalsregulering!$C$8</f>
        <v>0</v>
      </c>
      <c r="K3" s="36">
        <f>E3/Pristalsregulering!$C$8</f>
        <v>0</v>
      </c>
      <c r="L3" s="36">
        <f>F3/Pristalsregulering!$C$8</f>
        <v>0</v>
      </c>
      <c r="M3" s="36">
        <f>G3/Pristalsregulering!$C$8</f>
        <v>0</v>
      </c>
      <c r="N3" s="46">
        <f t="shared" ref="N3:S3" si="0">IF(H4=0,0,AVERAGEIF(H4:H6,"&lt;&gt;0"))+H3</f>
        <v>222125</v>
      </c>
      <c r="O3" s="39">
        <f t="shared" si="0"/>
        <v>47423</v>
      </c>
      <c r="P3" s="39">
        <f t="shared" si="0"/>
        <v>223085</v>
      </c>
      <c r="Q3" s="39">
        <f t="shared" si="0"/>
        <v>153849</v>
      </c>
      <c r="R3" s="39">
        <f t="shared" si="0"/>
        <v>54803</v>
      </c>
      <c r="S3" s="39">
        <f t="shared" si="0"/>
        <v>60156</v>
      </c>
      <c r="T3" s="59">
        <f>SUM(N3:S3)</f>
        <v>761441</v>
      </c>
    </row>
    <row r="4" spans="1:20" x14ac:dyDescent="0.25">
      <c r="A4" s="28">
        <v>2015</v>
      </c>
      <c r="B4" s="36">
        <v>222125</v>
      </c>
      <c r="C4" s="36">
        <v>47423</v>
      </c>
      <c r="D4" s="36">
        <v>223085</v>
      </c>
      <c r="E4" s="36">
        <v>153849</v>
      </c>
      <c r="F4" s="36">
        <v>54803</v>
      </c>
      <c r="G4" s="36">
        <v>60156</v>
      </c>
      <c r="H4" s="46">
        <f>B4</f>
        <v>222125</v>
      </c>
      <c r="I4" s="36">
        <f>C4</f>
        <v>47423</v>
      </c>
      <c r="J4" s="36">
        <f t="shared" ref="J4:M4" si="1">D4</f>
        <v>223085</v>
      </c>
      <c r="K4" s="36">
        <f t="shared" si="1"/>
        <v>153849</v>
      </c>
      <c r="L4" s="36">
        <f t="shared" si="1"/>
        <v>54803</v>
      </c>
      <c r="M4" s="36">
        <f t="shared" si="1"/>
        <v>60156</v>
      </c>
      <c r="N4" s="46"/>
      <c r="O4" s="39"/>
      <c r="P4" s="39"/>
      <c r="Q4" s="39"/>
      <c r="R4" s="39"/>
      <c r="S4" s="39"/>
      <c r="T4" s="55"/>
    </row>
    <row r="5" spans="1:20" x14ac:dyDescent="0.25">
      <c r="A5" s="28">
        <v>2014</v>
      </c>
      <c r="B5" s="36"/>
      <c r="C5" s="36"/>
      <c r="D5" s="36"/>
      <c r="E5" s="36"/>
      <c r="F5" s="36"/>
      <c r="G5" s="36"/>
      <c r="H5" s="46">
        <f>B5*Pristalsregulering!$C$7</f>
        <v>0</v>
      </c>
      <c r="I5" s="36">
        <f>C5*Pristalsregulering!$C$7</f>
        <v>0</v>
      </c>
      <c r="J5" s="36">
        <f>D5*Pristalsregulering!$C$7</f>
        <v>0</v>
      </c>
      <c r="K5" s="36">
        <f>E5*Pristalsregulering!$C$7</f>
        <v>0</v>
      </c>
      <c r="L5" s="36">
        <f>F5*Pristalsregulering!$C$7</f>
        <v>0</v>
      </c>
      <c r="M5" s="36">
        <f>G5*Pristalsregulering!$C$7</f>
        <v>0</v>
      </c>
      <c r="N5" s="46"/>
      <c r="O5" s="36"/>
      <c r="P5" s="36"/>
      <c r="Q5" s="36"/>
      <c r="R5" s="36"/>
      <c r="S5" s="39"/>
      <c r="T5" s="46"/>
    </row>
    <row r="6" spans="1:20" x14ac:dyDescent="0.25">
      <c r="A6" s="28">
        <v>2013</v>
      </c>
      <c r="B6" s="36"/>
      <c r="C6" s="36"/>
      <c r="D6" s="36"/>
      <c r="E6" s="36"/>
      <c r="F6" s="36"/>
      <c r="G6" s="36"/>
      <c r="H6" s="46">
        <f>B6*Pristalsregulering!$C$7*Pristalsregulering!$C$6</f>
        <v>0</v>
      </c>
      <c r="I6" s="36">
        <f>C6*Pristalsregulering!$C$7*Pristalsregulering!$C$6</f>
        <v>0</v>
      </c>
      <c r="J6" s="36">
        <f>D6*Pristalsregulering!$C$7*Pristalsregulering!$C$6</f>
        <v>0</v>
      </c>
      <c r="K6" s="36">
        <f>E6*Pristalsregulering!$C$7*Pristalsregulering!$C$6</f>
        <v>0</v>
      </c>
      <c r="L6" s="36">
        <f>F6*Pristalsregulering!$C$7*Pristalsregulering!$C$6</f>
        <v>0</v>
      </c>
      <c r="M6" s="36">
        <f>G6*Pristalsregulering!$C$7*Pristalsregulering!$C$6</f>
        <v>0</v>
      </c>
      <c r="N6" s="46"/>
      <c r="O6" s="36"/>
      <c r="P6" s="36"/>
      <c r="Q6" s="36"/>
      <c r="R6" s="36"/>
      <c r="S6" s="39"/>
      <c r="T6" s="46"/>
    </row>
    <row r="7" spans="1:20" hidden="1" x14ac:dyDescent="0.25"/>
    <row r="8" spans="1:20" hidden="1" x14ac:dyDescent="0.25"/>
    <row r="9" spans="1:20" hidden="1" x14ac:dyDescent="0.25"/>
  </sheetData>
  <sheetProtection password="DFE9" sheet="1" objects="1" scenarios="1"/>
  <mergeCells count="2">
    <mergeCell ref="H1:I1"/>
    <mergeCell ref="N1:O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6" t="s">
        <v>28</v>
      </c>
      <c r="C1" s="77"/>
      <c r="D1" s="77"/>
      <c r="E1" s="78" t="s">
        <v>58</v>
      </c>
      <c r="F1" s="79"/>
      <c r="G1" s="80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7" t="s">
        <v>31</v>
      </c>
      <c r="H2" s="6" t="s">
        <v>33</v>
      </c>
    </row>
    <row r="3" spans="1:8" x14ac:dyDescent="0.25">
      <c r="A3" s="31">
        <v>2015</v>
      </c>
      <c r="B3" s="42">
        <v>37500</v>
      </c>
      <c r="C3" s="43">
        <v>129400</v>
      </c>
      <c r="D3" s="43">
        <v>0</v>
      </c>
      <c r="E3" s="42">
        <f>B3</f>
        <v>37500</v>
      </c>
      <c r="F3" s="43">
        <f t="shared" ref="F3:G3" si="0">C3</f>
        <v>129400</v>
      </c>
      <c r="G3" s="44">
        <f t="shared" si="0"/>
        <v>0</v>
      </c>
      <c r="H3" s="45">
        <f>IF(E3=0,0,AVERAGEIF(E3:E5,"&lt;&gt;0"))+IF(F3=0,0,AVERAGEIF(F3:F5,"&lt;&gt;0"))+IF(G3=0,0,AVERAGEIF(G3:G5,"&lt;&gt;0"))</f>
        <v>158931.73933333333</v>
      </c>
    </row>
    <row r="4" spans="1:8" x14ac:dyDescent="0.25">
      <c r="A4" s="31">
        <v>2014</v>
      </c>
      <c r="B4" s="42">
        <v>30000</v>
      </c>
      <c r="C4" s="43">
        <v>141100</v>
      </c>
      <c r="D4" s="43">
        <v>10833</v>
      </c>
      <c r="E4" s="42">
        <f>B4*Pristalsregulering!$C$7</f>
        <v>30023.999999999996</v>
      </c>
      <c r="F4" s="43">
        <f>C4*Pristalsregulering!$C$7</f>
        <v>141212.87999999998</v>
      </c>
      <c r="G4" s="44">
        <f>D4*Pristalsregulering!$C$7</f>
        <v>10841.666399999998</v>
      </c>
      <c r="H4" s="43"/>
    </row>
    <row r="5" spans="1:8" x14ac:dyDescent="0.25">
      <c r="A5" s="31">
        <v>2013</v>
      </c>
      <c r="B5" s="42">
        <v>42500</v>
      </c>
      <c r="C5" s="43">
        <v>94000</v>
      </c>
      <c r="D5" s="43">
        <v>0</v>
      </c>
      <c r="E5" s="42">
        <f>B5*Pristalsregulering!$C$7*Pristalsregulering!$C$6</f>
        <v>43172.009999999987</v>
      </c>
      <c r="F5" s="43">
        <f>C5*Pristalsregulering!$C$7*Pristalsregulering!$C$6</f>
        <v>95486.327999999994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9" t="s">
        <v>71</v>
      </c>
      <c r="C1" s="79"/>
      <c r="D1" s="80"/>
      <c r="E1" s="81" t="s">
        <v>72</v>
      </c>
      <c r="F1" s="81"/>
      <c r="G1" s="81"/>
    </row>
    <row r="2" spans="1:7" s="22" customFormat="1" ht="15.75" thickTop="1" x14ac:dyDescent="0.25">
      <c r="A2" s="71" t="s">
        <v>13</v>
      </c>
      <c r="B2" s="23" t="s">
        <v>70</v>
      </c>
      <c r="C2" s="23" t="s">
        <v>1</v>
      </c>
      <c r="D2" s="28" t="s">
        <v>79</v>
      </c>
      <c r="E2" s="22" t="s">
        <v>0</v>
      </c>
      <c r="F2" s="22" t="s">
        <v>1</v>
      </c>
      <c r="G2" s="22" t="s">
        <v>79</v>
      </c>
    </row>
    <row r="3" spans="1:7" s="22" customFormat="1" x14ac:dyDescent="0.25">
      <c r="A3" s="72">
        <v>2015</v>
      </c>
      <c r="B3" s="39">
        <v>6318436.2041913997</v>
      </c>
      <c r="C3" s="39">
        <v>2061228.7466666668</v>
      </c>
      <c r="D3" s="41">
        <v>1001729.3666666668</v>
      </c>
      <c r="E3" s="36">
        <f>B3*Pristalsregulering!C2*Pristalsregulering!C3*Pristalsregulering!C4*Pristalsregulering!C5*Pristalsregulering!C6*Pristalsregulering!C7</f>
        <v>6878874.9563719574</v>
      </c>
      <c r="F3" s="36">
        <v>2119823.9464365975</v>
      </c>
      <c r="G3" s="36">
        <f xml:space="preserve"> D3/Pristalsregulering!$C$8</f>
        <v>1005550.4584086196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6" t="s">
        <v>44</v>
      </c>
      <c r="C1" s="77"/>
      <c r="D1" s="77"/>
      <c r="E1" s="77"/>
      <c r="F1" s="78" t="s">
        <v>59</v>
      </c>
      <c r="G1" s="79"/>
      <c r="H1" s="79"/>
      <c r="I1" s="79"/>
      <c r="J1" s="82" t="s">
        <v>33</v>
      </c>
      <c r="K1" s="81"/>
      <c r="L1" s="83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2" t="s">
        <v>48</v>
      </c>
      <c r="F2" s="7" t="s">
        <v>45</v>
      </c>
      <c r="G2" s="7" t="s">
        <v>46</v>
      </c>
      <c r="H2" s="7" t="s">
        <v>47</v>
      </c>
      <c r="I2" s="52" t="s">
        <v>48</v>
      </c>
      <c r="J2" s="20" t="s">
        <v>49</v>
      </c>
      <c r="K2" s="20" t="s">
        <v>46</v>
      </c>
      <c r="L2" s="15" t="s">
        <v>75</v>
      </c>
      <c r="M2" s="6" t="s">
        <v>32</v>
      </c>
      <c r="N2" s="32"/>
    </row>
    <row r="3" spans="1:14" x14ac:dyDescent="0.25">
      <c r="A3" s="28">
        <v>2015</v>
      </c>
      <c r="B3" s="46">
        <v>0</v>
      </c>
      <c r="C3" s="39">
        <v>177286</v>
      </c>
      <c r="D3" s="39">
        <v>0</v>
      </c>
      <c r="E3" s="41">
        <v>0</v>
      </c>
      <c r="F3" s="39">
        <f>B3</f>
        <v>0</v>
      </c>
      <c r="G3" s="39">
        <f>C3</f>
        <v>177286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177286</v>
      </c>
      <c r="L3" s="44">
        <f>AVERAGE(H3:H5)+AVERAGE(I3:I5)</f>
        <v>0</v>
      </c>
      <c r="M3" s="45">
        <f>SUM(J3:L3)</f>
        <v>177286</v>
      </c>
      <c r="N3" s="23"/>
    </row>
    <row r="4" spans="1:14" x14ac:dyDescent="0.25">
      <c r="A4" s="28">
        <v>2014</v>
      </c>
      <c r="B4" s="46"/>
      <c r="C4" s="39"/>
      <c r="D4" s="39"/>
      <c r="E4" s="41"/>
      <c r="F4" s="39" t="str">
        <f>IF(B4="","",B4*Pristalsregulering!$C$7)</f>
        <v/>
      </c>
      <c r="G4" s="39" t="str">
        <f>IF(C4="","",C4*Pristalsregulering!$C$7)</f>
        <v/>
      </c>
      <c r="H4" s="39" t="str">
        <f>IF(D4="","",D4*Pristalsregulering!$C$7)</f>
        <v/>
      </c>
      <c r="I4" s="41" t="str">
        <f>IF(E4="","",E4*Pristalsregulering!$C$7)</f>
        <v/>
      </c>
      <c r="J4" s="39"/>
      <c r="L4" s="41"/>
      <c r="M4" s="36"/>
    </row>
    <row r="5" spans="1:14" x14ac:dyDescent="0.25">
      <c r="A5" s="28">
        <v>2013</v>
      </c>
      <c r="B5" s="46"/>
      <c r="C5" s="39"/>
      <c r="D5" s="39"/>
      <c r="E5" s="41"/>
      <c r="F5" s="39" t="str">
        <f>IF(B5="","",B5*Pristalsregulering!$C$7*Pristalsregulering!$C$6)</f>
        <v/>
      </c>
      <c r="G5" s="39" t="str">
        <f>IF(C5="","",C5*Pristalsregulering!$C$7*Pristalsregulering!$C$6)</f>
        <v/>
      </c>
      <c r="H5" s="39" t="str">
        <f>IF(D5="","",D5*Pristalsregulering!$C$7*Pristalsregulering!$C$6)</f>
        <v/>
      </c>
      <c r="I5" s="41" t="str">
        <f>IF(E5="","",E5*Pristalsregulering!$C$7*Pristalsregulering!$C$6)</f>
        <v/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34</v>
      </c>
      <c r="C1" s="68" t="s">
        <v>35</v>
      </c>
      <c r="D1" s="68" t="s">
        <v>36</v>
      </c>
      <c r="E1" s="68" t="s">
        <v>37</v>
      </c>
      <c r="F1" s="68" t="s">
        <v>38</v>
      </c>
      <c r="G1" s="68" t="s">
        <v>39</v>
      </c>
      <c r="H1" s="68" t="s">
        <v>40</v>
      </c>
      <c r="I1" s="68" t="s">
        <v>41</v>
      </c>
      <c r="J1" s="68" t="s">
        <v>42</v>
      </c>
      <c r="K1" s="68" t="s">
        <v>61</v>
      </c>
      <c r="L1" s="69" t="s">
        <v>43</v>
      </c>
      <c r="M1" s="14" t="s">
        <v>32</v>
      </c>
    </row>
    <row r="2" spans="1:13" ht="15.75" thickTop="1" x14ac:dyDescent="0.25">
      <c r="A2" s="31">
        <v>2015</v>
      </c>
      <c r="B2" s="43">
        <v>32523</v>
      </c>
      <c r="C2" s="43">
        <v>1459482</v>
      </c>
      <c r="D2" s="43">
        <v>146105</v>
      </c>
      <c r="E2" s="43">
        <v>4273386</v>
      </c>
      <c r="F2" s="43">
        <v>0</v>
      </c>
      <c r="G2" s="43">
        <v>20838480</v>
      </c>
      <c r="H2" s="43" t="s">
        <v>50</v>
      </c>
      <c r="I2" s="43">
        <v>0</v>
      </c>
      <c r="J2" s="43">
        <v>0</v>
      </c>
      <c r="K2" s="43"/>
      <c r="L2" s="44"/>
      <c r="M2" s="45">
        <f>SUM(B2:L2)</f>
        <v>26749976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62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54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55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2017-10-13T12:01:48Z</dcterms:modified>
</cp:coreProperties>
</file>