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E3" i="16" l="1"/>
  <c r="D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D4" i="16" l="1"/>
  <c r="E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D5" i="16"/>
  <c r="D6" i="16"/>
  <c r="J3" i="24"/>
  <c r="E6" i="16"/>
  <c r="E5" i="16"/>
  <c r="M3" i="24" l="1"/>
  <c r="B9" i="12" s="1"/>
  <c r="B10" i="12" s="1"/>
  <c r="G3" i="16"/>
  <c r="F3" i="16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<sst xmlns="http://schemas.openxmlformats.org/spreadsheetml/2006/main" count="112" uniqueCount="75">
  <si>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</si>
  <si>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</si>
  <si>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</si>
  <si>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</si>
  <si>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</si>
  <si>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</si>
  <si>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</si>
  <si>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</si>
  <si>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</si>
  <si>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</si>
  <si>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</si>
  <si>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</si>
  <si>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</si>
  <si>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</si>
  <si>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</si>
  <si>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</si>
  <si>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</si>
  <si>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</si>
  <si>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</si>
  <si>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</si>
  <si>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</si>
  <si>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</si>
  <si>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Grundvandsbeskyttelse</t>
  </si>
  <si>
    <t>Tilbagestrømningssikring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</si>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</sst>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78429470.805458665</v>
      </c>
      <c r="C2" t="s">
        <v>11</v>
      </c>
    </row>
    <row r="3" spans="1:3" s="2" customFormat="1" x14ac:dyDescent="0.25">
      <c r="A3" s="5" t="s">
        <v>8</v>
      </c>
      <c r="B3" s="36">
        <f>'Miljø- og servicemål'!H3</f>
        <v>5047769.6196190324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286023.89815600001</v>
      </c>
      <c r="C4" t="s">
        <v>11</v>
      </c>
    </row>
    <row r="5" spans="1:3" s="26" customFormat="1" x14ac:dyDescent="0.25">
      <c r="A5" s="3" t="s">
        <v>12</v>
      </c>
      <c r="B5" s="48">
        <f>SUM(B2:B4)</f>
        <v>83763264.323233694</v>
      </c>
      <c r="C5" s="62" t="s">
        <v>11</v>
      </c>
    </row>
    <row r="6" spans="1:3" x14ac:dyDescent="0.25">
      <c r="A6" s="47" t="s">
        <v>0</v>
      </c>
      <c r="B6" s="38">
        <f>Investeringer!E3</f>
        <v>42992161.039066739</v>
      </c>
      <c r="C6" s="23" t="s">
        <v>11</v>
      </c>
    </row>
    <row r="7" spans="1:3" x14ac:dyDescent="0.25">
      <c r="A7" s="4" t="s">
        <v>1</v>
      </c>
      <c r="B7" s="35">
        <f>Investeringer!F3</f>
        <v>17981140.251917664</v>
      </c>
      <c r="C7" t="s">
        <v>11</v>
      </c>
    </row>
    <row r="8" spans="1:3" x14ac:dyDescent="0.25">
      <c r="A8" s="4" t="s">
        <v>2</v>
      </c>
      <c r="B8" s="35">
        <f>Investeringer!G3</f>
        <v>4120716.0192063171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2589833</v>
      </c>
      <c r="C9" t="s">
        <v>11</v>
      </c>
    </row>
    <row r="10" spans="1:3" s="22" customFormat="1" x14ac:dyDescent="0.25">
      <c r="A10" s="3" t="s">
        <v>48</v>
      </c>
      <c r="B10" s="48">
        <f>SUM(B6:B9)</f>
        <v>67683850.310190722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103452957</v>
      </c>
      <c r="C11" t="s">
        <v>11</v>
      </c>
    </row>
    <row r="12" spans="1:3" s="22" customFormat="1" x14ac:dyDescent="0.25">
      <c r="A12" s="3" t="s">
        <v>68</v>
      </c>
      <c r="B12" s="48">
        <f>SUM(B11:B11)</f>
        <v>103452957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254900071.6334244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257156380.79350483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59</v>
      </c>
      <c r="D1" s="59" t="s">
        <v>60</v>
      </c>
      <c r="E1" s="59" t="s">
        <v>53</v>
      </c>
      <c r="F1" s="52" t="s">
        <v>61</v>
      </c>
      <c r="G1" s="52" t="s">
        <v>69</v>
      </c>
      <c r="H1" s="52" t="s">
        <v>62</v>
      </c>
      <c r="I1" s="52" t="s">
        <v>49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76096853</v>
      </c>
      <c r="C2" s="49">
        <v>0</v>
      </c>
      <c r="D2" s="49">
        <f>B2+C2</f>
        <v>76096853</v>
      </c>
      <c r="E2" s="50">
        <f>D2</f>
        <v>76096853</v>
      </c>
      <c r="F2" s="49">
        <v>86184150.362501651</v>
      </c>
      <c r="G2" s="49">
        <v>0</v>
      </c>
      <c r="H2" s="49">
        <f>F2-G2</f>
        <v>86184150.362501651</v>
      </c>
      <c r="I2" s="49">
        <f>AVERAGEIF(E2:E4,"&lt;&gt;0")</f>
        <v>78429470.805458665</v>
      </c>
      <c r="J2" s="49">
        <v>63276375.126664989</v>
      </c>
      <c r="K2" s="39">
        <f>IF(H2&gt;I2,IF(I2&gt;J2,I2,J2),H2)</f>
        <v>78429470.805458665</v>
      </c>
    </row>
    <row r="3" spans="1:11" s="23" customFormat="1" x14ac:dyDescent="0.25">
      <c r="A3" s="28">
        <v>2014</v>
      </c>
      <c r="B3" s="49">
        <v>76977809</v>
      </c>
      <c r="C3" s="49"/>
      <c r="D3" s="49">
        <f t="shared" ref="D3:D4" si="0">B3+C3</f>
        <v>76977809</v>
      </c>
      <c r="E3" s="50">
        <f>D3*Pristalsregulering!C7</f>
        <v>77039391.247199997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80873398</v>
      </c>
      <c r="C4" s="49"/>
      <c r="D4" s="49">
        <f t="shared" si="0"/>
        <v>80873398</v>
      </c>
      <c r="E4" s="50">
        <f>D4*Pristalsregulering!$C$6*Pristalsregulering!$C$7</f>
        <v>82152168.169175997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5" customWidth="1"/>
    <col min="5" max="5" width="30.7109375" customWidth="1"/>
    <col min="6" max="6" width="30.7109375" style="55" customWidth="1"/>
    <col min="7" max="7" width="30.7109375" customWidth="1"/>
    <col min="8" max="8" width="30.7109375" style="55" customWidth="1"/>
    <col min="9" max="9" width="9.140625" hidden="1" customWidth="1"/>
    <col min="10" max="44" width="0" hidden="1" customWidth="1"/>
    <col min="45" max="45" width="9.140625" hidden="1" customWidth="1"/>
    <col min="46" max="81" width="0" hidden="1" customWidth="1"/>
    <col min="82" max="82" width="9.140625" hidden="1" customWidth="1"/>
    <col min="83" max="117" width="0" hidden="1" customWidth="1"/>
    <col min="118" max="118" width="9.140625" hidden="1" customWidth="1"/>
    <col min="119" max="119" width="0" hidden="1" customWidth="1"/>
    <col min="120" max="120" width="9.140625" hidden="1" customWidth="1"/>
    <col min="121" max="155" width="0" hidden="1" customWidth="1"/>
    <col min="156" max="156" width="9.140625" hidden="1" customWidth="1"/>
    <col min="157" max="190" width="0" hidden="1" customWidth="1"/>
    <col min="191" max="191" width="9.140625" hidden="1" customWidth="1"/>
    <col min="192" max="192" width="0" hidden="1" customWidth="1"/>
    <col min="193" max="193" width="9.140625" hidden="1" customWidth="1"/>
    <col min="194" max="228" width="0" hidden="1" customWidth="1"/>
    <col min="229" max="229" width="9.140625" hidden="1" customWidth="1"/>
    <col min="230" max="230" width="0" hidden="1" customWidth="1"/>
    <col min="231" max="231" width="9.140625" hidden="1" customWidth="1"/>
    <col min="232" max="266" width="0" hidden="1" customWidth="1"/>
    <col min="267" max="267" width="9.140625" hidden="1" customWidth="1"/>
    <col min="268" max="301" width="0" hidden="1" customWidth="1"/>
    <col min="302" max="302" width="9.140625" hidden="1" customWidth="1"/>
    <col min="303" max="303" width="0" hidden="1" customWidth="1"/>
    <col min="304" max="304" width="9.140625" hidden="1" customWidth="1"/>
    <col min="305" max="339" width="0" hidden="1" customWidth="1"/>
    <col min="340" max="340" width="9.140625" hidden="1" customWidth="1"/>
    <col min="341" max="341" width="0" hidden="1" customWidth="1"/>
    <col min="342" max="16384" width="9.140625" hidden="1"/>
  </cols>
  <sheetData>
    <row r="1" spans="1:8" s="27" customFormat="1" ht="15.75" thickBot="1" x14ac:dyDescent="0.3">
      <c r="A1" s="9"/>
      <c r="B1" s="33" t="s">
        <v>71</v>
      </c>
      <c r="C1" s="33"/>
      <c r="D1" s="63" t="s">
        <v>72</v>
      </c>
      <c r="E1" s="10"/>
      <c r="F1" s="73" t="s">
        <v>73</v>
      </c>
      <c r="G1" s="10"/>
      <c r="H1" s="63"/>
    </row>
    <row r="2" spans="1:8" ht="15.75" thickTop="1" x14ac:dyDescent="0.25">
      <c r="A2" s="17" t="s">
        <v>13</v>
      </c>
      <c r="B2" s="34" t="s">
        <v>22</v>
      </c>
      <c r="C2" s="34" t="s">
        <v>23</v>
      </c>
      <c r="D2" s="56" t="s">
        <v>22</v>
      </c>
      <c r="E2" s="34" t="s">
        <v>23</v>
      </c>
      <c r="F2" s="56" t="s">
        <v>22</v>
      </c>
      <c r="G2" s="34" t="s">
        <v>23</v>
      </c>
      <c r="H2" s="53" t="s">
        <v>24</v>
      </c>
    </row>
    <row r="3" spans="1:8" s="22" customFormat="1" x14ac:dyDescent="0.25">
      <c r="A3" s="28">
        <v>2016</v>
      </c>
      <c r="B3" s="72">
        <v>0</v>
      </c>
      <c r="C3" s="72">
        <v>145154</v>
      </c>
      <c r="D3" s="45">
        <f>B3/Pristalsregulering!$C$8</f>
        <v>0</v>
      </c>
      <c r="E3" s="35">
        <f>C3/Pristalsregulering!$C$8</f>
        <v>145707.68921903233</v>
      </c>
      <c r="F3" s="45">
        <f>IF(D4=0,0,AVERAGEIF(D4:D6,"&lt;&gt;0"))+D3</f>
        <v>4902061.9304</v>
      </c>
      <c r="G3" s="38">
        <f>IF(E4=0,0,AVERAGEIF(E4:E6,"&lt;&gt;0"))+E3</f>
        <v>145707.68921903233</v>
      </c>
      <c r="H3" s="57">
        <f>SUM(F3:G3)</f>
        <v>5047769.6196190324</v>
      </c>
    </row>
    <row r="4" spans="1:8" x14ac:dyDescent="0.25">
      <c r="A4" s="28">
        <v>2015</v>
      </c>
      <c r="B4" s="35">
        <v>5587177</v>
      </c>
      <c r="C4" s="35"/>
      <c r="D4" s="45">
        <f>B4</f>
        <v>5587177</v>
      </c>
      <c r="E4" s="35">
        <f>C4</f>
        <v>0</v>
      </c>
      <c r="F4" s="45"/>
      <c r="G4" s="38"/>
      <c r="H4" s="54"/>
    </row>
    <row r="5" spans="1:8" x14ac:dyDescent="0.25">
      <c r="A5" s="28">
        <v>2014</v>
      </c>
      <c r="B5" s="35">
        <v>4213576</v>
      </c>
      <c r="C5" s="35"/>
      <c r="D5" s="45">
        <f>B5*Pristalsregulering!$C$7</f>
        <v>4216946.8607999999</v>
      </c>
      <c r="E5" s="35">
        <f>C5*Pristalsregulering!$C$7</f>
        <v>0</v>
      </c>
      <c r="F5" s="45"/>
      <c r="G5" s="35"/>
      <c r="H5" s="45"/>
    </row>
    <row r="6" spans="1:8" x14ac:dyDescent="0.25">
      <c r="A6" s="28">
        <v>2013</v>
      </c>
      <c r="B6" s="35"/>
      <c r="C6" s="35"/>
      <c r="D6" s="45">
        <f>B6*Pristalsregulering!$C$7*Pristalsregulering!$C$6</f>
        <v>0</v>
      </c>
      <c r="E6" s="35">
        <f>C6*Pristalsregulering!$C$7*Pristalsregulering!$C$6</f>
        <v>0</v>
      </c>
      <c r="F6" s="45"/>
      <c r="G6" s="35"/>
      <c r="H6" s="45"/>
    </row>
    <row r="7" spans="1:8" hidden="1" x14ac:dyDescent="0.25"/>
    <row r="8" spans="1:8" hidden="1" x14ac:dyDescent="0.25"/>
    <row r="9" spans="1:8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4" t="s">
        <v>25</v>
      </c>
      <c r="C1" s="75"/>
      <c r="D1" s="75"/>
      <c r="E1" s="76" t="s">
        <v>54</v>
      </c>
      <c r="F1" s="77"/>
      <c r="G1" s="78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6" t="s">
        <v>28</v>
      </c>
      <c r="H2" s="6" t="s">
        <v>30</v>
      </c>
    </row>
    <row r="3" spans="1:8" x14ac:dyDescent="0.25">
      <c r="A3" s="31">
        <v>2015</v>
      </c>
      <c r="B3" s="41">
        <v>20000</v>
      </c>
      <c r="C3" s="42">
        <v>284680</v>
      </c>
      <c r="D3" s="42">
        <v>0</v>
      </c>
      <c r="E3" s="41">
        <f>B3</f>
        <v>20000</v>
      </c>
      <c r="F3" s="42">
        <f t="shared" ref="F3:G3" si="0">C3</f>
        <v>284680</v>
      </c>
      <c r="G3" s="43">
        <f t="shared" si="0"/>
        <v>0</v>
      </c>
      <c r="H3" s="44">
        <f>IF(E3=0,0,AVERAGEIF(E3:E5,"&lt;&gt;0"))+IF(F3=0,0,AVERAGEIF(F3:F5,"&lt;&gt;0"))+IF(G3=0,0,AVERAGEIF(G3:G5,"&lt;&gt;0"))</f>
        <v>286023.89815600001</v>
      </c>
    </row>
    <row r="4" spans="1:8" x14ac:dyDescent="0.25">
      <c r="A4" s="31">
        <v>2014</v>
      </c>
      <c r="B4" s="41">
        <v>22000</v>
      </c>
      <c r="C4" s="42">
        <v>215600</v>
      </c>
      <c r="D4" s="42">
        <v>0</v>
      </c>
      <c r="E4" s="41">
        <f>B4*Pristalsregulering!$C$7</f>
        <v>22017.599999999999</v>
      </c>
      <c r="F4" s="42">
        <f>C4*Pristalsregulering!$C$7</f>
        <v>215772.47999999998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25000</v>
      </c>
      <c r="C5" s="42">
        <v>285689</v>
      </c>
      <c r="D5" s="42">
        <v>0</v>
      </c>
      <c r="E5" s="41">
        <f>B5*Pristalsregulering!$C$7*Pristalsregulering!$C$6</f>
        <v>25395.299999999996</v>
      </c>
      <c r="F5" s="42">
        <f>C5*Pristalsregulering!$C$7*Pristalsregulering!$C$6</f>
        <v>290206.31446799997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77" t="s">
        <v>66</v>
      </c>
      <c r="C1" s="77"/>
      <c r="D1" s="78"/>
      <c r="E1" s="79" t="s">
        <v>67</v>
      </c>
      <c r="F1" s="79"/>
      <c r="G1" s="79"/>
    </row>
    <row r="2" spans="1:7" s="22" customFormat="1" ht="15.75" thickTop="1" x14ac:dyDescent="0.25">
      <c r="A2" s="69" t="s">
        <v>13</v>
      </c>
      <c r="B2" s="23" t="s">
        <v>65</v>
      </c>
      <c r="C2" s="23" t="s">
        <v>1</v>
      </c>
      <c r="D2" s="28" t="s">
        <v>74</v>
      </c>
      <c r="E2" s="22" t="s">
        <v>0</v>
      </c>
      <c r="F2" s="22" t="s">
        <v>1</v>
      </c>
      <c r="G2" s="22" t="s">
        <v>74</v>
      </c>
    </row>
    <row r="3" spans="1:7" s="22" customFormat="1" x14ac:dyDescent="0.25">
      <c r="A3" s="70">
        <v>2015</v>
      </c>
      <c r="B3" s="38">
        <v>39489484.621906221</v>
      </c>
      <c r="C3" s="38">
        <v>17631217.220000006</v>
      </c>
      <c r="D3" s="40">
        <v>4105057.2983333329</v>
      </c>
      <c r="E3" s="35">
        <f>B3*Pristalsregulering!C2*Pristalsregulering!C3*Pristalsregulering!C4*Pristalsregulering!C5*Pristalsregulering!C6*Pristalsregulering!C7</f>
        <v>42992161.039066739</v>
      </c>
      <c r="F3" s="35">
        <v>17981140.251917664</v>
      </c>
      <c r="G3" s="35">
        <f xml:space="preserve"> D3/Pristalsregulering!$C$8</f>
        <v>4120716.0192063171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4" t="s">
        <v>41</v>
      </c>
      <c r="C1" s="75"/>
      <c r="D1" s="75"/>
      <c r="E1" s="75"/>
      <c r="F1" s="76" t="s">
        <v>55</v>
      </c>
      <c r="G1" s="77"/>
      <c r="H1" s="77"/>
      <c r="I1" s="77"/>
      <c r="J1" s="80" t="s">
        <v>30</v>
      </c>
      <c r="K1" s="79"/>
      <c r="L1" s="81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70</v>
      </c>
      <c r="M2" s="6" t="s">
        <v>29</v>
      </c>
      <c r="N2" s="32"/>
    </row>
    <row r="3" spans="1:14" x14ac:dyDescent="0.25">
      <c r="A3" s="28">
        <v>2015</v>
      </c>
      <c r="B3" s="45">
        <v>0</v>
      </c>
      <c r="C3" s="38">
        <v>2589833</v>
      </c>
      <c r="D3" s="38">
        <v>0</v>
      </c>
      <c r="E3" s="40">
        <v>0</v>
      </c>
      <c r="F3" s="38">
        <f>B3</f>
        <v>0</v>
      </c>
      <c r="G3" s="38">
        <f>C3</f>
        <v>2589833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2589833</v>
      </c>
      <c r="L3" s="43">
        <f>AVERAGE(H3:H5)+AVERAGE(I3:I5)</f>
        <v>0</v>
      </c>
      <c r="M3" s="44">
        <f>SUM(J3:L3)</f>
        <v>2589833</v>
      </c>
      <c r="N3" s="23"/>
    </row>
    <row r="4" spans="1:14" x14ac:dyDescent="0.25">
      <c r="A4" s="28">
        <v>2014</v>
      </c>
      <c r="B4" s="45">
        <v>0</v>
      </c>
      <c r="C4" s="38">
        <v>1293240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1294274.5919999999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245897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249785.12336399994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31</v>
      </c>
      <c r="C1" s="66" t="s">
        <v>32</v>
      </c>
      <c r="D1" s="66" t="s">
        <v>33</v>
      </c>
      <c r="E1" s="66" t="s">
        <v>34</v>
      </c>
      <c r="F1" s="66" t="s">
        <v>35</v>
      </c>
      <c r="G1" s="66" t="s">
        <v>36</v>
      </c>
      <c r="H1" s="66" t="s">
        <v>37</v>
      </c>
      <c r="I1" s="66" t="s">
        <v>38</v>
      </c>
      <c r="J1" s="66" t="s">
        <v>39</v>
      </c>
      <c r="K1" s="66" t="s">
        <v>56</v>
      </c>
      <c r="L1" s="67" t="s">
        <v>40</v>
      </c>
      <c r="M1" s="14" t="s">
        <v>29</v>
      </c>
    </row>
    <row r="2" spans="1:13" ht="15.75" thickTop="1" x14ac:dyDescent="0.25">
      <c r="A2" s="31">
        <v>2015</v>
      </c>
      <c r="B2" s="42">
        <v>16261</v>
      </c>
      <c r="C2" s="42">
        <v>9915682</v>
      </c>
      <c r="D2" s="42">
        <v>1274909</v>
      </c>
      <c r="E2" s="42">
        <v>34897</v>
      </c>
      <c r="F2" s="42">
        <v>1670000</v>
      </c>
      <c r="G2" s="42">
        <v>90541208</v>
      </c>
      <c r="H2" s="42" t="s">
        <v>47</v>
      </c>
      <c r="I2" s="42">
        <v>0</v>
      </c>
      <c r="J2" s="42">
        <v>0</v>
      </c>
      <c r="K2" s="42"/>
      <c r="L2" s="43"/>
      <c r="M2" s="44">
        <f>SUM(B2:L2)</f>
        <v>103452957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57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2017-09-12T14:55:57Z</dcterms:modified>
</cp:coreProperties>
</file>