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7" l="1"/>
  <c r="G25" i="22" l="1"/>
  <c r="G26" i="22" l="1"/>
  <c r="G13" i="10" l="1"/>
  <c r="G11" i="10" l="1"/>
  <c r="G12" i="22"/>
  <c r="G11" i="22"/>
  <c r="G10" i="22"/>
  <c r="F18" i="20"/>
  <c r="F19" i="20" s="1"/>
  <c r="E20" i="22" s="1"/>
  <c r="G20" i="22" s="1"/>
  <c r="F13" i="11" l="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5" i="22" l="1"/>
  <c r="E24" i="22"/>
  <c r="G18" i="22"/>
  <c r="G24" i="22" l="1"/>
  <c r="G18" i="19"/>
  <c r="G19" i="19" s="1"/>
  <c r="E15" i="22" s="1"/>
  <c r="G15" i="22" l="1"/>
  <c r="E23" i="22"/>
  <c r="E27" i="22"/>
  <c r="E15" i="13"/>
  <c r="F11" i="11"/>
  <c r="F14" i="11"/>
  <c r="G23" i="22" l="1"/>
  <c r="G30" i="13"/>
  <c r="E35" i="13" l="1"/>
  <c r="G35" i="13" s="1"/>
  <c r="E27" i="13"/>
  <c r="E19" i="13"/>
  <c r="G11" i="12"/>
  <c r="G23" i="12"/>
  <c r="G17" i="12"/>
  <c r="F10" i="11"/>
  <c r="F15" i="11" s="1"/>
  <c r="G27" i="12" l="1"/>
  <c r="G29" i="12" s="1"/>
  <c r="G16" i="22" s="1"/>
  <c r="E28" i="13"/>
  <c r="G28" i="13" s="1"/>
  <c r="G36" i="13" s="1"/>
  <c r="G17" i="22" s="1"/>
  <c r="G27" i="22" l="1"/>
</calcChain>
</file>

<file path=xl/sharedStrings.xml><?xml version="1.0" encoding="utf-8"?>
<sst xmlns="http://schemas.openxmlformats.org/spreadsheetml/2006/main" count="303" uniqueCount="151">
  <si>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</si>
  <si>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</si>
  <si>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</si>
  <si>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</si>
  <si>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</si>
  <si>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</si>
  <si>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</si>
  <si>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</si>
  <si>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</si>
  <si>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</si>
  <si>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</si>
  <si>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</si>
  <si>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</si>
  <si>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</si>
  <si>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</si>
  <si>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</si>
  <si>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</si>
  <si>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</si>
  <si>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</si>
  <si>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</si>
  <si>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</si>
  <si>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</si>
  <si>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</si>
  <si>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</si>
  <si>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</si>
  <si>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</si>
  <si>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</si>
  <si>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</si>
  <si>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</si>
  <si>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</si>
  <si>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</si>
  <si>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</si>
  <si>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</si>
  <si>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</si>
  <si>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</si>
  <si>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</si>
  <si>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</si>
  <si>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</si>
  <si>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</si>
  <si>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</si>
  <si>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</si>
  <si>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</si>
  <si>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</si>
  <si>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</si>
  <si>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</si>
  <si>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</si>
  <si>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</si>
  <si>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</si>
  <si>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</si>
  <si>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</si>
  <si>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</si>
  <si>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</si>
  <si>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</si>
  <si>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</si>
  <si>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</si>
  <si>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</si>
  <si>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</si>
  <si>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</si>
  <si>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</si>
  <si>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</si>
  <si>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</si>
  <si>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</si>
  <si>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</si>
  <si>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</si>
  <si>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</si>
  <si>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</si>
  <si>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</si>
  <si>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</si>
  <si>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</si>
  <si>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</si>
  <si>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</si>
  <si>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</si>
  <si>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</si>
  <si>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</si>
  <si>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</si>
  <si>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</si>
  <si>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</si>
  <si>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</si>
  <si>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</si>
  <si>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</si>
  <si>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</si>
  <si>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</si>
  <si>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</si>
  <si>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</si>
  <si>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</si>
  <si>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</si>
  <si>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</si>
  <si>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</si>
  <si>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</si>
  <si>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</si>
  <si>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</si>
  <si>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</si>
  <si>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</si>
  <si>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</si>
  <si>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</si>
  <si>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</si>
  <si>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</si>
  <si>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</si>
  <si>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</si>
  <si>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</si>
  <si>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</si>
  <si>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</si>
  <si>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</si>
  <si>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</si>
  <si>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</si>
  <si>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</si>
  <si>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</si>
  <si>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</si>
  <si>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</si>
  <si>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</si>
  <si>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</si>
  <si>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</si>
  <si>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</si>
  <si>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</si>
  <si>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</si>
  <si>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</si>
  <si>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</si>
  <si>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</si>
  <si>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Stik på ledningsnet, Konstruktioner</t>
  </si>
  <si>
    <t>Ø110 mm &lt; Ledningsnet ≤ Ø 250 mm</t>
  </si>
  <si>
    <t>SRO(Software)</t>
  </si>
  <si>
    <t>SRO anlæg</t>
  </si>
  <si>
    <t>Afregningsmålere, elektroniske ≤ Ø 110mm (Qn 10)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</si>
  <si>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</si>
  <si>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</si>
  <si>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</si>
  <si>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</si>
  <si>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</si>
  <si>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</si>
  <si>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</si>
  <si>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</si>
  <si>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</si>
  <si>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</si>
  <si>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</si>
  <si>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</si>
  <si>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</si>
  <si>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</si>
  <si>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</si>
  <si>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</si>
  <si>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</si>
  <si>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</si>
  <si>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</si>
  <si>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</si>
  <si>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</si>
  <si>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</si>
  <si>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</si>
  <si>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</si>
  <si>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</si>
  <si>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</si>
  <si>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</si>
  <si>
    <t>- Heraf miljø- og servicemål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</si>
</sst>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0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10" fillId="4" borderId="1" xfId="0" applyNumberFormat="1" applyFont="1" applyFill="1" applyBorder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3" fontId="8" fillId="9" borderId="1" xfId="1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3" fontId="8" fillId="9" borderId="1" xfId="0" applyNumberFormat="1" applyFont="1" applyFill="1" applyBorder="1" applyAlignment="1" applyProtection="1"/>
    <xf numFmtId="49" fontId="8" fillId="9" borderId="2" xfId="0" applyNumberFormat="1" applyFont="1" applyFill="1" applyBorder="1" applyAlignment="1" applyProtection="1"/>
    <xf numFmtId="49" fontId="8" fillId="9" borderId="10" xfId="0" applyNumberFormat="1" applyFont="1" applyFill="1" applyBorder="1" applyAlignment="1" applyProtection="1"/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117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68" t="s">
        <v>110</v>
      </c>
      <c r="E13" s="69"/>
      <c r="F13" s="69"/>
      <c r="G13" s="70"/>
      <c r="H13" s="2"/>
      <c r="I13" s="2"/>
    </row>
    <row r="14" spans="1:9" x14ac:dyDescent="0.25">
      <c r="A14" s="2"/>
      <c r="B14" s="2"/>
      <c r="C14" s="7" t="s">
        <v>7</v>
      </c>
      <c r="D14" s="62" t="s">
        <v>50</v>
      </c>
      <c r="E14" s="63"/>
      <c r="F14" s="63"/>
      <c r="G14" s="64"/>
      <c r="H14" s="2"/>
      <c r="I14" s="2"/>
    </row>
    <row r="15" spans="1:9" x14ac:dyDescent="0.25">
      <c r="A15" s="2"/>
      <c r="B15" s="2"/>
      <c r="C15" s="7" t="s">
        <v>8</v>
      </c>
      <c r="D15" s="62" t="s">
        <v>43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5" t="s">
        <v>16</v>
      </c>
      <c r="E16" s="66"/>
      <c r="F16" s="66"/>
      <c r="G16" s="67"/>
      <c r="H16" s="2"/>
      <c r="I16" s="2"/>
    </row>
    <row r="17" spans="1:9" x14ac:dyDescent="0.25">
      <c r="A17" s="2"/>
      <c r="B17" s="2"/>
      <c r="C17" s="7" t="s">
        <v>10</v>
      </c>
      <c r="D17" s="57" t="s">
        <v>53</v>
      </c>
      <c r="E17" s="58"/>
      <c r="F17" s="58"/>
      <c r="G17" s="59"/>
      <c r="H17" s="2"/>
      <c r="I17" s="2"/>
    </row>
    <row r="18" spans="1:9" x14ac:dyDescent="0.25">
      <c r="A18" s="2"/>
      <c r="B18" s="2"/>
      <c r="C18" s="7" t="s">
        <v>11</v>
      </c>
      <c r="D18" s="57" t="s">
        <v>71</v>
      </c>
      <c r="E18" s="58"/>
      <c r="F18" s="58"/>
      <c r="G18" s="59"/>
      <c r="H18" s="2"/>
      <c r="I18" s="2"/>
    </row>
    <row r="19" spans="1:9" x14ac:dyDescent="0.25">
      <c r="A19" s="2"/>
      <c r="B19" s="2"/>
      <c r="C19" s="7" t="s">
        <v>12</v>
      </c>
      <c r="D19" s="50" t="s">
        <v>92</v>
      </c>
      <c r="E19" s="51"/>
      <c r="F19" s="51"/>
      <c r="G19" s="52"/>
      <c r="H19" s="2"/>
      <c r="I19" s="2"/>
    </row>
    <row r="20" spans="1:9" x14ac:dyDescent="0.25">
      <c r="A20" s="2"/>
      <c r="B20" s="2"/>
      <c r="C20" s="7" t="s">
        <v>13</v>
      </c>
      <c r="D20" s="53" t="s">
        <v>52</v>
      </c>
      <c r="E20" s="54"/>
      <c r="F20" s="54"/>
      <c r="G20" s="55"/>
      <c r="H20" s="2"/>
      <c r="I20" s="2"/>
    </row>
    <row r="21" spans="1:9" x14ac:dyDescent="0.25">
      <c r="A21" s="2"/>
      <c r="B21" s="2"/>
      <c r="C21" s="7" t="s">
        <v>48</v>
      </c>
      <c r="D21" s="53" t="s">
        <v>51</v>
      </c>
      <c r="E21" s="54"/>
      <c r="F21" s="54"/>
      <c r="G21" s="55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6" t="s">
        <v>116</v>
      </c>
      <c r="C3" s="86"/>
      <c r="D3" s="86"/>
      <c r="E3" s="86"/>
      <c r="F3" s="86"/>
      <c r="G3" s="86"/>
      <c r="H3" s="2"/>
    </row>
    <row r="4" spans="1:8" ht="25.5" customHeight="1" x14ac:dyDescent="0.25">
      <c r="A4" s="2"/>
      <c r="B4" s="86"/>
      <c r="C4" s="86"/>
      <c r="D4" s="86"/>
      <c r="E4" s="86"/>
      <c r="F4" s="86"/>
      <c r="G4" s="86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79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26" t="s">
        <v>80</v>
      </c>
      <c r="C9" s="27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48" t="s">
        <v>145</v>
      </c>
      <c r="C10" s="49"/>
      <c r="D10" s="9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84</v>
      </c>
      <c r="C11" s="85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83" t="s">
        <v>94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74" t="s">
        <v>98</v>
      </c>
      <c r="C3" s="74"/>
      <c r="D3" s="74"/>
      <c r="E3" s="74"/>
      <c r="F3" s="74"/>
      <c r="G3" s="74"/>
      <c r="H3" s="74"/>
      <c r="I3" s="74"/>
      <c r="J3" s="74"/>
      <c r="K3" s="2"/>
    </row>
    <row r="4" spans="1:11" ht="15" customHeight="1" x14ac:dyDescent="0.25">
      <c r="A4" s="2"/>
      <c r="B4" s="74"/>
      <c r="C4" s="74"/>
      <c r="D4" s="74"/>
      <c r="E4" s="74"/>
      <c r="F4" s="74"/>
      <c r="G4" s="74"/>
      <c r="H4" s="74"/>
      <c r="I4" s="74"/>
      <c r="J4" s="74"/>
      <c r="K4" s="2"/>
    </row>
    <row r="5" spans="1:11" x14ac:dyDescent="0.25">
      <c r="A5" s="2"/>
      <c r="B5" s="75" t="s">
        <v>99</v>
      </c>
      <c r="C5" s="75"/>
      <c r="D5" s="75"/>
      <c r="E5" s="75"/>
      <c r="F5" s="75"/>
      <c r="G5" s="75"/>
      <c r="H5" s="75"/>
      <c r="I5" s="75"/>
      <c r="J5" s="75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28"/>
      <c r="C8" s="29"/>
      <c r="D8" s="29"/>
      <c r="E8" s="29">
        <v>2018</v>
      </c>
      <c r="F8" s="30"/>
      <c r="G8" s="29">
        <v>2019</v>
      </c>
      <c r="H8" s="30"/>
      <c r="I8" s="2"/>
      <c r="J8" s="2"/>
      <c r="K8" s="2"/>
    </row>
    <row r="9" spans="1:11" ht="15" customHeight="1" x14ac:dyDescent="0.25">
      <c r="A9" s="2"/>
      <c r="B9" s="76" t="s">
        <v>100</v>
      </c>
      <c r="C9" s="77"/>
      <c r="D9" s="78"/>
      <c r="E9" s="35">
        <v>35950980.849140212</v>
      </c>
      <c r="F9" s="13" t="s">
        <v>4</v>
      </c>
      <c r="G9" s="36" t="s">
        <v>101</v>
      </c>
      <c r="H9" s="13" t="s">
        <v>4</v>
      </c>
      <c r="I9" s="2"/>
      <c r="J9" s="2"/>
      <c r="K9" s="2"/>
    </row>
    <row r="10" spans="1:11" x14ac:dyDescent="0.25">
      <c r="A10" s="2"/>
      <c r="B10" s="79" t="s">
        <v>72</v>
      </c>
      <c r="C10" s="72"/>
      <c r="D10" s="73"/>
      <c r="E10" s="31" t="s">
        <v>101</v>
      </c>
      <c r="F10" s="8" t="s">
        <v>4</v>
      </c>
      <c r="G10" s="32">
        <f>'Fane 3. Korrigeret grundlag'!G9*(1+'Fane 2. Overblik ØR18-19'!E30/100)</f>
        <v>9004109.8698818311</v>
      </c>
      <c r="H10" s="8" t="s">
        <v>4</v>
      </c>
      <c r="I10" s="2"/>
      <c r="J10" s="2"/>
      <c r="K10" s="2"/>
    </row>
    <row r="11" spans="1:11" x14ac:dyDescent="0.25">
      <c r="A11" s="2"/>
      <c r="B11" s="43" t="s">
        <v>73</v>
      </c>
      <c r="C11" s="41"/>
      <c r="D11" s="42"/>
      <c r="E11" s="31" t="s">
        <v>101</v>
      </c>
      <c r="F11" s="8" t="s">
        <v>4</v>
      </c>
      <c r="G11" s="32">
        <f>'Fane 3. Korrigeret grundlag'!G11*(1+'Fane 2. Overblik ØR18-19'!E30/100)</f>
        <v>7877409.9942804305</v>
      </c>
      <c r="H11" s="8" t="s">
        <v>4</v>
      </c>
      <c r="I11" s="2"/>
      <c r="J11" s="2"/>
      <c r="K11" s="2"/>
    </row>
    <row r="12" spans="1:11" x14ac:dyDescent="0.25">
      <c r="A12" s="2"/>
      <c r="B12" s="43" t="s">
        <v>90</v>
      </c>
      <c r="C12" s="41"/>
      <c r="D12" s="42"/>
      <c r="E12" s="31" t="s">
        <v>101</v>
      </c>
      <c r="F12" s="8" t="s">
        <v>4</v>
      </c>
      <c r="G12" s="32">
        <f>'Fane 3. Korrigeret grundlag'!G12*(1+'Fane 2. Overblik ØR18-19'!E30/100)</f>
        <v>19725756.142585505</v>
      </c>
      <c r="H12" s="8" t="s">
        <v>4</v>
      </c>
      <c r="I12" s="2"/>
      <c r="J12" s="2"/>
      <c r="K12" s="2"/>
    </row>
    <row r="13" spans="1:11" x14ac:dyDescent="0.25">
      <c r="A13" s="2"/>
      <c r="B13" s="43" t="s">
        <v>148</v>
      </c>
      <c r="C13" s="41"/>
      <c r="D13" s="42"/>
      <c r="E13" s="31" t="s">
        <v>101</v>
      </c>
      <c r="F13" s="8" t="s">
        <v>4</v>
      </c>
      <c r="G13" s="32">
        <v>-665864.1599238104</v>
      </c>
      <c r="H13" s="8" t="s">
        <v>4</v>
      </c>
      <c r="I13" s="2"/>
      <c r="J13" s="2"/>
      <c r="K13" s="2"/>
    </row>
    <row r="14" spans="1:11" x14ac:dyDescent="0.25">
      <c r="A14" s="2"/>
      <c r="B14" s="43" t="s">
        <v>147</v>
      </c>
      <c r="C14" s="41"/>
      <c r="D14" s="42"/>
      <c r="E14" s="31" t="s">
        <v>101</v>
      </c>
      <c r="F14" s="8" t="s">
        <v>4</v>
      </c>
      <c r="G14" s="32">
        <v>-463916.38581338088</v>
      </c>
      <c r="H14" s="8" t="s">
        <v>4</v>
      </c>
      <c r="I14" s="2"/>
      <c r="J14" s="2"/>
      <c r="K14" s="2"/>
    </row>
    <row r="15" spans="1:11" x14ac:dyDescent="0.25">
      <c r="A15" s="2"/>
      <c r="B15" s="79" t="s">
        <v>102</v>
      </c>
      <c r="C15" s="72"/>
      <c r="D15" s="73"/>
      <c r="E15" s="32">
        <f>'Fane 4. Ikke-påvirkelige omk.'!G19</f>
        <v>1374851.3899010019</v>
      </c>
      <c r="F15" s="8" t="s">
        <v>4</v>
      </c>
      <c r="G15" s="33">
        <f>E15*(1+E30/100)</f>
        <v>1398911.2892242696</v>
      </c>
      <c r="H15" s="8" t="s">
        <v>4</v>
      </c>
      <c r="I15" s="2"/>
      <c r="J15" s="2"/>
      <c r="K15" s="2"/>
    </row>
    <row r="16" spans="1:11" x14ac:dyDescent="0.25">
      <c r="A16" s="2"/>
      <c r="B16" s="79" t="s">
        <v>71</v>
      </c>
      <c r="C16" s="72"/>
      <c r="D16" s="73"/>
      <c r="E16" s="31" t="s">
        <v>101</v>
      </c>
      <c r="F16" s="8" t="s">
        <v>4</v>
      </c>
      <c r="G16" s="33">
        <f>SUM('Fane 7. Korrektion af PL2016'!G11,'Fane 7. Korrektion af PL2016'!G17,'Fane 7. Korrektion af PL2016'!G23,'Fane 7. Korrektion af PL2016'!G29)</f>
        <v>1540777.6124</v>
      </c>
      <c r="H16" s="8" t="s">
        <v>4</v>
      </c>
      <c r="I16" s="2"/>
      <c r="J16" s="2"/>
      <c r="K16" s="2"/>
    </row>
    <row r="17" spans="1:11" x14ac:dyDescent="0.25">
      <c r="A17" s="2"/>
      <c r="B17" s="79" t="s">
        <v>103</v>
      </c>
      <c r="C17" s="72"/>
      <c r="D17" s="73"/>
      <c r="E17" s="31" t="s">
        <v>101</v>
      </c>
      <c r="F17" s="8" t="s">
        <v>4</v>
      </c>
      <c r="G17" s="32">
        <f>'Fane 8. Kontrol af PL2016'!G36</f>
        <v>-937208.90573041886</v>
      </c>
      <c r="H17" s="8" t="s">
        <v>4</v>
      </c>
      <c r="I17" s="2"/>
      <c r="J17" s="2"/>
      <c r="K17" s="2"/>
    </row>
    <row r="18" spans="1:11" x14ac:dyDescent="0.25">
      <c r="A18" s="2"/>
      <c r="B18" s="71" t="s">
        <v>104</v>
      </c>
      <c r="C18" s="72"/>
      <c r="D18" s="73"/>
      <c r="E18" s="32">
        <f>'Fane 9. Tillæg'!D12</f>
        <v>0</v>
      </c>
      <c r="F18" s="8" t="s">
        <v>4</v>
      </c>
      <c r="G18" s="32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1" t="s">
        <v>105</v>
      </c>
      <c r="C19" s="72"/>
      <c r="D19" s="73"/>
      <c r="E19" s="33">
        <f>'Fane 9. Tillæg'!F12</f>
        <v>0</v>
      </c>
      <c r="F19" s="8" t="s">
        <v>4</v>
      </c>
      <c r="G19" s="33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40" t="s">
        <v>131</v>
      </c>
      <c r="C20" s="41"/>
      <c r="D20" s="42"/>
      <c r="E20" s="33">
        <f>'Fane 9. Tillæg'!F19</f>
        <v>0</v>
      </c>
      <c r="F20" s="8" t="s">
        <v>4</v>
      </c>
      <c r="G20" s="33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1" t="s">
        <v>106</v>
      </c>
      <c r="C21" s="72"/>
      <c r="D21" s="73"/>
      <c r="E21" s="31" t="s">
        <v>101</v>
      </c>
      <c r="F21" s="8" t="s">
        <v>4</v>
      </c>
      <c r="G21" s="32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1" t="s">
        <v>106</v>
      </c>
      <c r="C22" s="72"/>
      <c r="D22" s="73"/>
      <c r="E22" s="31" t="s">
        <v>101</v>
      </c>
      <c r="F22" s="8" t="s">
        <v>4</v>
      </c>
      <c r="G22" s="32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1" t="s">
        <v>49</v>
      </c>
      <c r="C23" s="72"/>
      <c r="D23" s="73"/>
      <c r="E23" s="32">
        <f>SUM(E15:E20)*E30/100</f>
        <v>24059.899323267535</v>
      </c>
      <c r="F23" s="8" t="s">
        <v>4</v>
      </c>
      <c r="G23" s="32">
        <f>SUM(G10:G15,G18:G22)*$E$30/100</f>
        <v>645337.11812910985</v>
      </c>
      <c r="H23" s="8" t="s">
        <v>4</v>
      </c>
      <c r="I23" s="2"/>
      <c r="J23" s="2"/>
      <c r="K23" s="2"/>
    </row>
    <row r="24" spans="1:11" x14ac:dyDescent="0.25">
      <c r="A24" s="2"/>
      <c r="B24" s="71" t="s">
        <v>15</v>
      </c>
      <c r="C24" s="72"/>
      <c r="D24" s="73"/>
      <c r="E24" s="32">
        <f>-SUM(E18)*(1+E30/100)*$E$32/100-E19*(1+E30/100)*$E$33/100</f>
        <v>0</v>
      </c>
      <c r="F24" s="8" t="s">
        <v>4</v>
      </c>
      <c r="G24" s="32">
        <f>-(G10+G18+G21+G13)*(1+E30/100)*$E$32/100-(G11+G19+G22+G14)*(1+E30/100)*E33/100</f>
        <v>-303198.46671273519</v>
      </c>
      <c r="H24" s="8" t="s">
        <v>4</v>
      </c>
      <c r="I24" s="2"/>
      <c r="J24" s="2"/>
      <c r="K24" s="2"/>
    </row>
    <row r="25" spans="1:11" x14ac:dyDescent="0.25">
      <c r="A25" s="2"/>
      <c r="B25" s="71" t="s">
        <v>14</v>
      </c>
      <c r="C25" s="72"/>
      <c r="D25" s="73"/>
      <c r="E25" s="32">
        <f>-(SUM(E18:E19))*(1+E30)*$E$31/100</f>
        <v>0</v>
      </c>
      <c r="F25" s="8" t="s">
        <v>4</v>
      </c>
      <c r="G25" s="32">
        <f>-(SUM(G10:G11)-'Fane 3. Korrigeret grundlag'!G10*(1-0.02)+SUM(G13:G14)+SUM(G18:G19)+SUM(G21:G22))*(1+E30/100)*$E$31/100</f>
        <v>-291068.47071533307</v>
      </c>
      <c r="H25" s="8" t="s">
        <v>4</v>
      </c>
      <c r="I25" s="2"/>
      <c r="J25" s="2"/>
      <c r="K25" s="2"/>
    </row>
    <row r="26" spans="1:11" x14ac:dyDescent="0.25">
      <c r="A26" s="2"/>
      <c r="B26" s="71" t="s">
        <v>16</v>
      </c>
      <c r="C26" s="72"/>
      <c r="D26" s="73"/>
      <c r="E26" s="31" t="s">
        <v>101</v>
      </c>
      <c r="F26" s="8" t="s">
        <v>4</v>
      </c>
      <c r="G26" s="32">
        <f>'Fane 5. Hist. over el. underdæk'!G13</f>
        <v>0</v>
      </c>
      <c r="H26" s="8" t="s">
        <v>4</v>
      </c>
      <c r="I26" s="2"/>
      <c r="J26" s="2"/>
      <c r="K26" s="2"/>
    </row>
    <row r="27" spans="1:11" x14ac:dyDescent="0.25">
      <c r="A27" s="2"/>
      <c r="B27" s="28" t="s">
        <v>107</v>
      </c>
      <c r="C27" s="29"/>
      <c r="D27" s="29"/>
      <c r="E27" s="34">
        <f>SUM(E9:E25)</f>
        <v>37349892.138364486</v>
      </c>
      <c r="F27" s="29" t="s">
        <v>4</v>
      </c>
      <c r="G27" s="37">
        <f>SUM(G10:G26)</f>
        <v>37531045.637605473</v>
      </c>
      <c r="H27" s="30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8" t="s">
        <v>108</v>
      </c>
      <c r="C29" s="29"/>
      <c r="D29" s="29"/>
      <c r="E29" s="29"/>
      <c r="F29" s="30"/>
      <c r="G29" s="2"/>
      <c r="H29" s="2"/>
      <c r="I29" s="2"/>
      <c r="J29" s="2"/>
      <c r="K29" s="2"/>
    </row>
    <row r="30" spans="1:11" ht="15" customHeight="1" x14ac:dyDescent="0.25">
      <c r="A30" s="2"/>
      <c r="B30" s="71" t="s">
        <v>138</v>
      </c>
      <c r="C30" s="72"/>
      <c r="D30" s="73"/>
      <c r="E30" s="38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1" t="s">
        <v>139</v>
      </c>
      <c r="C31" s="72"/>
      <c r="D31" s="73"/>
      <c r="E31" s="38">
        <v>2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1" t="s">
        <v>36</v>
      </c>
      <c r="C32" s="72"/>
      <c r="D32" s="73"/>
      <c r="E32" s="38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1" t="s">
        <v>140</v>
      </c>
      <c r="C33" s="72"/>
      <c r="D33" s="73"/>
      <c r="E33" s="38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33:D33"/>
    <mergeCell ref="B24:D24"/>
    <mergeCell ref="B25:D25"/>
    <mergeCell ref="B30:D30"/>
    <mergeCell ref="B31:D31"/>
    <mergeCell ref="B32:D32"/>
    <mergeCell ref="B26:D26"/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6" t="s">
        <v>96</v>
      </c>
      <c r="C3" s="86"/>
      <c r="D3" s="86"/>
      <c r="E3" s="86"/>
      <c r="F3" s="86"/>
      <c r="G3" s="86"/>
      <c r="H3" s="86"/>
      <c r="I3" s="2"/>
    </row>
    <row r="4" spans="1:9" ht="29.2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97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72</v>
      </c>
      <c r="C9" s="72"/>
      <c r="D9" s="72"/>
      <c r="E9" s="72"/>
      <c r="F9" s="73"/>
      <c r="G9" s="9">
        <v>8849248.0293678921</v>
      </c>
      <c r="H9" s="17" t="s">
        <v>4</v>
      </c>
      <c r="I9" s="2"/>
    </row>
    <row r="10" spans="1:9" x14ac:dyDescent="0.25">
      <c r="A10" s="2"/>
      <c r="B10" s="79" t="s">
        <v>150</v>
      </c>
      <c r="C10" s="72"/>
      <c r="D10" s="72"/>
      <c r="E10" s="72"/>
      <c r="F10" s="73"/>
      <c r="G10" s="9">
        <v>1478184.0452598466</v>
      </c>
      <c r="H10" s="17" t="s">
        <v>4</v>
      </c>
      <c r="I10" s="2"/>
    </row>
    <row r="11" spans="1:9" x14ac:dyDescent="0.25">
      <c r="A11" s="2"/>
      <c r="B11" s="71" t="s">
        <v>73</v>
      </c>
      <c r="C11" s="72"/>
      <c r="D11" s="72"/>
      <c r="E11" s="72"/>
      <c r="F11" s="73"/>
      <c r="G11" s="9">
        <v>7741926.284305091</v>
      </c>
      <c r="H11" s="17" t="s">
        <v>4</v>
      </c>
      <c r="I11" s="2"/>
    </row>
    <row r="12" spans="1:9" x14ac:dyDescent="0.25">
      <c r="A12" s="2"/>
      <c r="B12" s="71" t="s">
        <v>90</v>
      </c>
      <c r="C12" s="72"/>
      <c r="D12" s="72"/>
      <c r="E12" s="72"/>
      <c r="F12" s="73"/>
      <c r="G12" s="9">
        <v>19386492.523425557</v>
      </c>
      <c r="H12" s="17" t="s">
        <v>4</v>
      </c>
      <c r="I12" s="2"/>
    </row>
    <row r="13" spans="1:9" ht="17.25" customHeight="1" x14ac:dyDescent="0.25">
      <c r="A13" s="2"/>
      <c r="B13" s="80" t="s">
        <v>93</v>
      </c>
      <c r="C13" s="81"/>
      <c r="D13" s="81"/>
      <c r="E13" s="81"/>
      <c r="F13" s="82"/>
      <c r="G13" s="15">
        <f>SUM($G$9,$G$11:$G$12)</f>
        <v>35977666.837098539</v>
      </c>
      <c r="H13" s="16" t="s">
        <v>4</v>
      </c>
      <c r="I13" s="2"/>
    </row>
    <row r="14" spans="1:9" x14ac:dyDescent="0.25">
      <c r="A14" s="2"/>
      <c r="B14" s="18"/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44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88</v>
      </c>
      <c r="C16" s="18"/>
      <c r="D16" s="18"/>
      <c r="E16" s="18"/>
      <c r="F16" s="18"/>
      <c r="G16" s="18"/>
      <c r="H16" s="18"/>
      <c r="I16" s="2"/>
    </row>
    <row r="17" spans="1:9" x14ac:dyDescent="0.25">
      <c r="A17" s="2"/>
      <c r="B17" s="19" t="s">
        <v>89</v>
      </c>
      <c r="C17" s="2"/>
      <c r="D17" s="2"/>
      <c r="E17" s="2"/>
      <c r="F17" s="2"/>
      <c r="G17" s="18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</sheetData>
  <sheetProtection password="DFE9" sheet="1" objects="1" scenarios="1"/>
  <mergeCells count="7">
    <mergeCell ref="B13:F13"/>
    <mergeCell ref="B8:H8"/>
    <mergeCell ref="B3:H4"/>
    <mergeCell ref="B12:F12"/>
    <mergeCell ref="B11:F11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74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75</v>
      </c>
      <c r="C8" s="84"/>
      <c r="D8" s="84"/>
      <c r="E8" s="84"/>
      <c r="F8" s="84"/>
      <c r="G8" s="84"/>
      <c r="H8" s="85"/>
      <c r="I8" s="2"/>
    </row>
    <row r="9" spans="1:9" ht="51.75" customHeight="1" x14ac:dyDescent="0.25">
      <c r="A9" s="2"/>
      <c r="B9" s="76" t="s">
        <v>77</v>
      </c>
      <c r="C9" s="77"/>
      <c r="D9" s="78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71" t="s">
        <v>123</v>
      </c>
      <c r="C10" s="72"/>
      <c r="D10" s="72"/>
      <c r="E10" s="45">
        <v>0</v>
      </c>
      <c r="F10" s="17" t="s">
        <v>4</v>
      </c>
      <c r="G10" s="9">
        <v>0</v>
      </c>
      <c r="H10" s="17" t="s">
        <v>4</v>
      </c>
      <c r="I10" s="2"/>
    </row>
    <row r="11" spans="1:9" x14ac:dyDescent="0.25">
      <c r="A11" s="2"/>
      <c r="B11" s="71" t="s">
        <v>124</v>
      </c>
      <c r="C11" s="72"/>
      <c r="D11" s="72"/>
      <c r="E11" s="45">
        <v>116372.0992</v>
      </c>
      <c r="F11" s="17" t="s">
        <v>4</v>
      </c>
      <c r="G11" s="9">
        <v>84163</v>
      </c>
      <c r="H11" s="17" t="s">
        <v>4</v>
      </c>
      <c r="I11" s="2"/>
    </row>
    <row r="12" spans="1:9" x14ac:dyDescent="0.25">
      <c r="A12" s="2"/>
      <c r="B12" s="71" t="s">
        <v>125</v>
      </c>
      <c r="C12" s="72"/>
      <c r="D12" s="72"/>
      <c r="E12" s="45">
        <v>488138</v>
      </c>
      <c r="F12" s="17" t="s">
        <v>4</v>
      </c>
      <c r="G12" s="9">
        <v>338326</v>
      </c>
      <c r="H12" s="17" t="s">
        <v>4</v>
      </c>
      <c r="I12" s="2"/>
    </row>
    <row r="13" spans="1:9" x14ac:dyDescent="0.25">
      <c r="A13" s="2"/>
      <c r="B13" s="71" t="s">
        <v>126</v>
      </c>
      <c r="C13" s="72"/>
      <c r="D13" s="72"/>
      <c r="E13" s="45">
        <v>32399.4126</v>
      </c>
      <c r="F13" s="17" t="s">
        <v>4</v>
      </c>
      <c r="G13" s="9">
        <v>51254</v>
      </c>
      <c r="H13" s="17" t="s">
        <v>4</v>
      </c>
      <c r="I13" s="2"/>
    </row>
    <row r="14" spans="1:9" x14ac:dyDescent="0.25">
      <c r="A14" s="2"/>
      <c r="B14" s="71" t="s">
        <v>127</v>
      </c>
      <c r="C14" s="72"/>
      <c r="D14" s="72"/>
      <c r="E14" s="45">
        <v>12979114.2326</v>
      </c>
      <c r="F14" s="17" t="s">
        <v>4</v>
      </c>
      <c r="G14" s="9">
        <v>11446838</v>
      </c>
      <c r="H14" s="17" t="s">
        <v>4</v>
      </c>
      <c r="I14" s="2"/>
    </row>
    <row r="15" spans="1:9" x14ac:dyDescent="0.25">
      <c r="A15" s="2"/>
      <c r="B15" s="71" t="s">
        <v>128</v>
      </c>
      <c r="C15" s="72"/>
      <c r="D15" s="72"/>
      <c r="E15" s="45">
        <v>0</v>
      </c>
      <c r="F15" s="17" t="s">
        <v>4</v>
      </c>
      <c r="G15" s="9">
        <v>0</v>
      </c>
      <c r="H15" s="17" t="s">
        <v>4</v>
      </c>
      <c r="I15" s="2"/>
    </row>
    <row r="16" spans="1:9" x14ac:dyDescent="0.25">
      <c r="A16" s="2"/>
      <c r="B16" s="71" t="s">
        <v>129</v>
      </c>
      <c r="C16" s="72"/>
      <c r="D16" s="72"/>
      <c r="E16" s="45">
        <v>5527347.9583999999</v>
      </c>
      <c r="F16" s="17" t="s">
        <v>4</v>
      </c>
      <c r="G16" s="9">
        <v>8573996</v>
      </c>
      <c r="H16" s="17" t="s">
        <v>4</v>
      </c>
      <c r="I16" s="2"/>
    </row>
    <row r="17" spans="1:9" x14ac:dyDescent="0.25">
      <c r="A17" s="2"/>
      <c r="B17" s="71" t="s">
        <v>130</v>
      </c>
      <c r="C17" s="72"/>
      <c r="D17" s="72"/>
      <c r="E17" s="45">
        <v>0</v>
      </c>
      <c r="F17" s="17" t="s">
        <v>4</v>
      </c>
      <c r="G17" s="9">
        <v>0</v>
      </c>
      <c r="H17" s="17" t="s">
        <v>4</v>
      </c>
      <c r="I17" s="2"/>
    </row>
    <row r="18" spans="1:9" x14ac:dyDescent="0.25">
      <c r="A18" s="2"/>
      <c r="B18" s="83" t="s">
        <v>86</v>
      </c>
      <c r="C18" s="84"/>
      <c r="D18" s="84"/>
      <c r="E18" s="84"/>
      <c r="F18" s="85"/>
      <c r="G18" s="15">
        <f>SUM(G10:G17)-SUM(E10:E17)</f>
        <v>1351205.2972000018</v>
      </c>
      <c r="H18" s="16" t="s">
        <v>4</v>
      </c>
      <c r="I18" s="2"/>
    </row>
    <row r="19" spans="1:9" x14ac:dyDescent="0.25">
      <c r="A19" s="2"/>
      <c r="B19" s="83" t="s">
        <v>87</v>
      </c>
      <c r="C19" s="84"/>
      <c r="D19" s="84"/>
      <c r="E19" s="84"/>
      <c r="F19" s="85"/>
      <c r="G19" s="15">
        <f>G18*(1+'Fane 2. Overblik ØR18-19'!E30/100)</f>
        <v>1374851.3899010019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4" t="s">
        <v>111</v>
      </c>
      <c r="C3" s="74"/>
      <c r="D3" s="74"/>
      <c r="E3" s="74"/>
      <c r="F3" s="74"/>
      <c r="G3" s="74"/>
      <c r="H3" s="74"/>
      <c r="I3" s="2"/>
    </row>
    <row r="4" spans="1:9" ht="15" customHeight="1" x14ac:dyDescent="0.25">
      <c r="A4" s="2"/>
      <c r="B4" s="74"/>
      <c r="C4" s="74"/>
      <c r="D4" s="74"/>
      <c r="E4" s="74"/>
      <c r="F4" s="74"/>
      <c r="G4" s="74"/>
      <c r="H4" s="7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45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71" t="s">
        <v>38</v>
      </c>
      <c r="C9" s="72"/>
      <c r="D9" s="72"/>
      <c r="E9" s="72"/>
      <c r="F9" s="73"/>
      <c r="G9" s="9">
        <v>-2708886</v>
      </c>
      <c r="H9" s="17" t="s">
        <v>4</v>
      </c>
      <c r="I9" s="2"/>
    </row>
    <row r="10" spans="1:9" x14ac:dyDescent="0.25">
      <c r="A10" s="2"/>
      <c r="B10" s="71" t="s">
        <v>81</v>
      </c>
      <c r="C10" s="72"/>
      <c r="D10" s="72"/>
      <c r="E10" s="72"/>
      <c r="F10" s="73"/>
      <c r="G10" s="9">
        <v>-2708886</v>
      </c>
      <c r="H10" s="17" t="s">
        <v>4</v>
      </c>
      <c r="I10" s="2"/>
    </row>
    <row r="11" spans="1:9" x14ac:dyDescent="0.25">
      <c r="A11" s="2"/>
      <c r="B11" s="87" t="s">
        <v>41</v>
      </c>
      <c r="C11" s="88"/>
      <c r="D11" s="88"/>
      <c r="E11" s="88"/>
      <c r="F11" s="89"/>
      <c r="G11" s="39">
        <f>G9-G10</f>
        <v>0</v>
      </c>
      <c r="H11" s="21" t="s">
        <v>4</v>
      </c>
      <c r="I11" s="2"/>
    </row>
    <row r="12" spans="1:9" x14ac:dyDescent="0.25">
      <c r="A12" s="2"/>
      <c r="B12" s="71" t="s">
        <v>39</v>
      </c>
      <c r="C12" s="72"/>
      <c r="D12" s="72"/>
      <c r="E12" s="72"/>
      <c r="F12" s="73"/>
      <c r="G12" s="9">
        <v>0</v>
      </c>
      <c r="H12" s="17" t="s">
        <v>82</v>
      </c>
      <c r="I12" s="2"/>
    </row>
    <row r="13" spans="1:9" x14ac:dyDescent="0.25">
      <c r="A13" s="2"/>
      <c r="B13" s="83" t="s">
        <v>37</v>
      </c>
      <c r="C13" s="84"/>
      <c r="D13" s="84"/>
      <c r="E13" s="84"/>
      <c r="F13" s="85"/>
      <c r="G13" s="15">
        <f>IF(G12 = 0,0,G11/G12)</f>
        <v>0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9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112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53</v>
      </c>
      <c r="C8" s="84"/>
      <c r="D8" s="84"/>
      <c r="E8" s="84"/>
      <c r="F8" s="84"/>
      <c r="G8" s="85"/>
      <c r="H8" s="2"/>
    </row>
    <row r="9" spans="1:8" ht="39" customHeight="1" x14ac:dyDescent="0.25">
      <c r="A9" s="2"/>
      <c r="B9" s="44" t="s">
        <v>0</v>
      </c>
      <c r="C9" s="13" t="s">
        <v>1</v>
      </c>
      <c r="D9" s="44" t="s">
        <v>2</v>
      </c>
      <c r="E9" s="44" t="s">
        <v>40</v>
      </c>
      <c r="F9" s="90" t="s">
        <v>3</v>
      </c>
      <c r="G9" s="90"/>
      <c r="H9" s="2"/>
    </row>
    <row r="10" spans="1:8" x14ac:dyDescent="0.25">
      <c r="A10" s="2"/>
      <c r="B10" s="46" t="s">
        <v>118</v>
      </c>
      <c r="C10" s="22">
        <v>2016</v>
      </c>
      <c r="D10" s="22">
        <v>75</v>
      </c>
      <c r="E10" s="9">
        <v>615721.96</v>
      </c>
      <c r="F10" s="9">
        <f>E10/D10</f>
        <v>8209.6261333333332</v>
      </c>
      <c r="G10" s="17" t="s">
        <v>4</v>
      </c>
      <c r="H10" s="2"/>
    </row>
    <row r="11" spans="1:8" x14ac:dyDescent="0.25">
      <c r="A11" s="2"/>
      <c r="B11" s="46" t="s">
        <v>119</v>
      </c>
      <c r="C11" s="22">
        <v>2016</v>
      </c>
      <c r="D11" s="22">
        <v>75</v>
      </c>
      <c r="E11" s="9">
        <v>2041152.77</v>
      </c>
      <c r="F11" s="9">
        <f t="shared" ref="F11:F14" si="0">E11/D11</f>
        <v>27215.370266666669</v>
      </c>
      <c r="G11" s="17" t="s">
        <v>4</v>
      </c>
      <c r="H11" s="2"/>
    </row>
    <row r="12" spans="1:8" x14ac:dyDescent="0.25">
      <c r="A12" s="2"/>
      <c r="B12" s="46" t="s">
        <v>120</v>
      </c>
      <c r="C12" s="22">
        <v>2016</v>
      </c>
      <c r="D12" s="22">
        <v>5</v>
      </c>
      <c r="E12" s="9">
        <v>31750.94</v>
      </c>
      <c r="F12" s="9">
        <f t="shared" si="0"/>
        <v>6350.1880000000001</v>
      </c>
      <c r="G12" s="17" t="s">
        <v>4</v>
      </c>
      <c r="H12" s="2"/>
    </row>
    <row r="13" spans="1:8" x14ac:dyDescent="0.25">
      <c r="A13" s="2"/>
      <c r="B13" s="46" t="s">
        <v>121</v>
      </c>
      <c r="C13" s="22">
        <v>2016</v>
      </c>
      <c r="D13" s="22">
        <v>10</v>
      </c>
      <c r="E13" s="9">
        <v>273616.5</v>
      </c>
      <c r="F13" s="9">
        <f t="shared" si="0"/>
        <v>27361.65</v>
      </c>
      <c r="G13" s="17" t="s">
        <v>4</v>
      </c>
      <c r="H13" s="2"/>
    </row>
    <row r="14" spans="1:8" ht="26.25" x14ac:dyDescent="0.25">
      <c r="A14" s="2"/>
      <c r="B14" s="46" t="s">
        <v>122</v>
      </c>
      <c r="C14" s="22">
        <v>2016</v>
      </c>
      <c r="D14" s="22">
        <v>10</v>
      </c>
      <c r="E14" s="9">
        <v>1732447.78</v>
      </c>
      <c r="F14" s="9">
        <f t="shared" si="0"/>
        <v>173244.77799999999</v>
      </c>
      <c r="G14" s="17" t="s">
        <v>4</v>
      </c>
      <c r="H14" s="2"/>
    </row>
    <row r="15" spans="1:8" x14ac:dyDescent="0.25">
      <c r="A15" s="2"/>
      <c r="B15" s="83" t="s">
        <v>54</v>
      </c>
      <c r="C15" s="84"/>
      <c r="D15" s="84"/>
      <c r="E15" s="85"/>
      <c r="F15" s="15">
        <f>SUM(F10:F14)</f>
        <v>242381.61239999998</v>
      </c>
      <c r="G15" s="16" t="s">
        <v>4</v>
      </c>
      <c r="H15" s="2"/>
    </row>
    <row r="16" spans="1:8" x14ac:dyDescent="0.25">
      <c r="A16" s="2"/>
      <c r="B16" s="2"/>
      <c r="C16" s="2"/>
      <c r="D16" s="2"/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</sheetData>
  <sheetProtection password="DFE9" sheet="1" objects="1" scenarios="1"/>
  <mergeCells count="4">
    <mergeCell ref="B15:E15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86" t="s">
        <v>113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0" t="s">
        <v>141</v>
      </c>
      <c r="C8" s="81"/>
      <c r="D8" s="81"/>
      <c r="E8" s="81"/>
      <c r="F8" s="81"/>
      <c r="G8" s="81"/>
      <c r="H8" s="82"/>
      <c r="I8" s="2"/>
    </row>
    <row r="9" spans="1:9" x14ac:dyDescent="0.25">
      <c r="A9" s="2"/>
      <c r="B9" s="71" t="s">
        <v>55</v>
      </c>
      <c r="C9" s="72"/>
      <c r="D9" s="72"/>
      <c r="E9" s="72"/>
      <c r="F9" s="73"/>
      <c r="G9" s="9">
        <v>20519464</v>
      </c>
      <c r="H9" s="17" t="s">
        <v>4</v>
      </c>
      <c r="I9" s="2"/>
    </row>
    <row r="10" spans="1:9" x14ac:dyDescent="0.25">
      <c r="A10" s="2"/>
      <c r="B10" s="71" t="s">
        <v>56</v>
      </c>
      <c r="C10" s="72"/>
      <c r="D10" s="72"/>
      <c r="E10" s="72"/>
      <c r="F10" s="73"/>
      <c r="G10" s="9">
        <v>18177435</v>
      </c>
      <c r="H10" s="17" t="s">
        <v>4</v>
      </c>
      <c r="I10" s="2"/>
    </row>
    <row r="11" spans="1:9" x14ac:dyDescent="0.25">
      <c r="A11" s="2"/>
      <c r="B11" s="83" t="s">
        <v>142</v>
      </c>
      <c r="C11" s="84"/>
      <c r="D11" s="84"/>
      <c r="E11" s="84"/>
      <c r="F11" s="85"/>
      <c r="G11" s="15">
        <f>G9-G10</f>
        <v>2342029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0" t="s">
        <v>143</v>
      </c>
      <c r="C14" s="81"/>
      <c r="D14" s="81"/>
      <c r="E14" s="81"/>
      <c r="F14" s="81"/>
      <c r="G14" s="81"/>
      <c r="H14" s="82"/>
      <c r="I14" s="2"/>
    </row>
    <row r="15" spans="1:9" x14ac:dyDescent="0.25">
      <c r="A15" s="2"/>
      <c r="B15" s="71" t="s">
        <v>57</v>
      </c>
      <c r="C15" s="72"/>
      <c r="D15" s="72"/>
      <c r="E15" s="72"/>
      <c r="F15" s="73"/>
      <c r="G15" s="9">
        <v>547073</v>
      </c>
      <c r="H15" s="17" t="s">
        <v>4</v>
      </c>
      <c r="I15" s="2"/>
    </row>
    <row r="16" spans="1:9" x14ac:dyDescent="0.25">
      <c r="A16" s="2"/>
      <c r="B16" s="71" t="s">
        <v>58</v>
      </c>
      <c r="C16" s="72"/>
      <c r="D16" s="72"/>
      <c r="E16" s="72"/>
      <c r="F16" s="73"/>
      <c r="G16" s="9">
        <v>433750</v>
      </c>
      <c r="H16" s="17" t="s">
        <v>4</v>
      </c>
      <c r="I16" s="2"/>
    </row>
    <row r="17" spans="1:9" x14ac:dyDescent="0.25">
      <c r="A17" s="2"/>
      <c r="B17" s="83" t="s">
        <v>143</v>
      </c>
      <c r="C17" s="84"/>
      <c r="D17" s="84"/>
      <c r="E17" s="84"/>
      <c r="F17" s="85"/>
      <c r="G17" s="15">
        <f>G15-G16</f>
        <v>113323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0" t="s">
        <v>144</v>
      </c>
      <c r="C20" s="81"/>
      <c r="D20" s="81"/>
      <c r="E20" s="81"/>
      <c r="F20" s="81"/>
      <c r="G20" s="81"/>
      <c r="H20" s="82"/>
      <c r="I20" s="2"/>
    </row>
    <row r="21" spans="1:9" x14ac:dyDescent="0.25">
      <c r="A21" s="2"/>
      <c r="B21" s="71" t="s">
        <v>59</v>
      </c>
      <c r="C21" s="72"/>
      <c r="D21" s="72"/>
      <c r="E21" s="72"/>
      <c r="F21" s="73"/>
      <c r="G21" s="9">
        <v>1115898</v>
      </c>
      <c r="H21" s="17" t="s">
        <v>4</v>
      </c>
      <c r="I21" s="2"/>
    </row>
    <row r="22" spans="1:9" x14ac:dyDescent="0.25">
      <c r="A22" s="2"/>
      <c r="B22" s="71" t="s">
        <v>60</v>
      </c>
      <c r="C22" s="72"/>
      <c r="D22" s="72"/>
      <c r="E22" s="72"/>
      <c r="F22" s="73"/>
      <c r="G22" s="9">
        <v>1428000</v>
      </c>
      <c r="H22" s="17" t="s">
        <v>4</v>
      </c>
      <c r="I22" s="2"/>
    </row>
    <row r="23" spans="1:9" x14ac:dyDescent="0.25">
      <c r="A23" s="2"/>
      <c r="B23" s="83" t="s">
        <v>144</v>
      </c>
      <c r="C23" s="84"/>
      <c r="D23" s="84"/>
      <c r="E23" s="84"/>
      <c r="F23" s="85"/>
      <c r="G23" s="15">
        <f>G21-G22</f>
        <v>-312102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0" t="s">
        <v>61</v>
      </c>
      <c r="C26" s="81"/>
      <c r="D26" s="81"/>
      <c r="E26" s="81"/>
      <c r="F26" s="81"/>
      <c r="G26" s="81"/>
      <c r="H26" s="82"/>
      <c r="I26" s="2"/>
    </row>
    <row r="27" spans="1:9" x14ac:dyDescent="0.25">
      <c r="A27" s="2"/>
      <c r="B27" s="71" t="s">
        <v>62</v>
      </c>
      <c r="C27" s="72"/>
      <c r="D27" s="72"/>
      <c r="E27" s="72"/>
      <c r="F27" s="73"/>
      <c r="G27" s="9">
        <f>'Fane 6. Gen. inv. i 2016'!F15</f>
        <v>242381.61239999998</v>
      </c>
      <c r="H27" s="17" t="s">
        <v>4</v>
      </c>
      <c r="I27" s="2"/>
    </row>
    <row r="28" spans="1:9" x14ac:dyDescent="0.25">
      <c r="A28" s="2"/>
      <c r="B28" s="71" t="s">
        <v>63</v>
      </c>
      <c r="C28" s="72"/>
      <c r="D28" s="72"/>
      <c r="E28" s="72"/>
      <c r="F28" s="73"/>
      <c r="G28" s="9">
        <v>844853.99999999988</v>
      </c>
      <c r="H28" s="17" t="s">
        <v>4</v>
      </c>
      <c r="I28" s="2"/>
    </row>
    <row r="29" spans="1:9" x14ac:dyDescent="0.25">
      <c r="A29" s="2"/>
      <c r="B29" s="83" t="s">
        <v>61</v>
      </c>
      <c r="C29" s="84"/>
      <c r="D29" s="84"/>
      <c r="E29" s="84"/>
      <c r="F29" s="85"/>
      <c r="G29" s="15">
        <f>G27-G28</f>
        <v>-602472.3875999999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8:F28"/>
    <mergeCell ref="B29:F29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86" t="s">
        <v>114</v>
      </c>
      <c r="C3" s="86"/>
      <c r="D3" s="86"/>
      <c r="E3" s="86"/>
      <c r="F3" s="86"/>
      <c r="G3" s="86"/>
      <c r="H3" s="86"/>
      <c r="I3" s="2"/>
    </row>
    <row r="4" spans="1:9" ht="15" customHeight="1" x14ac:dyDescent="0.25">
      <c r="A4" s="2"/>
      <c r="B4" s="86"/>
      <c r="C4" s="86"/>
      <c r="D4" s="86"/>
      <c r="E4" s="86"/>
      <c r="F4" s="86"/>
      <c r="G4" s="86"/>
      <c r="H4" s="86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3" t="s">
        <v>64</v>
      </c>
      <c r="C8" s="84"/>
      <c r="D8" s="84"/>
      <c r="E8" s="84"/>
      <c r="F8" s="84"/>
      <c r="G8" s="84"/>
      <c r="H8" s="85"/>
      <c r="I8" s="2"/>
    </row>
    <row r="9" spans="1:9" x14ac:dyDescent="0.25">
      <c r="A9" s="2"/>
      <c r="B9" s="94" t="s">
        <v>65</v>
      </c>
      <c r="C9" s="95"/>
      <c r="D9" s="95"/>
      <c r="E9" s="95"/>
      <c r="F9" s="96"/>
      <c r="G9" s="12">
        <v>37752835.094269581</v>
      </c>
      <c r="H9" s="20" t="s">
        <v>4</v>
      </c>
      <c r="I9" s="2"/>
    </row>
    <row r="10" spans="1:9" x14ac:dyDescent="0.25">
      <c r="A10" s="2"/>
      <c r="B10" s="83" t="s">
        <v>66</v>
      </c>
      <c r="C10" s="84"/>
      <c r="D10" s="84"/>
      <c r="E10" s="84"/>
      <c r="F10" s="84"/>
      <c r="G10" s="84"/>
      <c r="H10" s="85"/>
      <c r="I10" s="2"/>
    </row>
    <row r="11" spans="1:9" x14ac:dyDescent="0.25">
      <c r="A11" s="2"/>
      <c r="B11" s="71" t="s">
        <v>17</v>
      </c>
      <c r="C11" s="72"/>
      <c r="D11" s="73"/>
      <c r="E11" s="9">
        <v>5401816</v>
      </c>
      <c r="F11" s="17" t="s">
        <v>4</v>
      </c>
      <c r="G11" s="14"/>
      <c r="H11" s="23"/>
      <c r="I11" s="2"/>
    </row>
    <row r="12" spans="1:9" x14ac:dyDescent="0.25">
      <c r="A12" s="2"/>
      <c r="B12" s="71" t="s">
        <v>67</v>
      </c>
      <c r="C12" s="72"/>
      <c r="D12" s="73"/>
      <c r="E12" s="9">
        <v>1032159</v>
      </c>
      <c r="F12" s="17" t="s">
        <v>4</v>
      </c>
      <c r="G12" s="10"/>
      <c r="H12" s="24"/>
      <c r="I12" s="2"/>
    </row>
    <row r="13" spans="1:9" x14ac:dyDescent="0.25">
      <c r="A13" s="2"/>
      <c r="B13" s="71" t="s">
        <v>68</v>
      </c>
      <c r="C13" s="72"/>
      <c r="D13" s="73"/>
      <c r="E13" s="9">
        <v>-925863</v>
      </c>
      <c r="F13" s="17" t="s">
        <v>4</v>
      </c>
      <c r="G13" s="10"/>
      <c r="H13" s="24"/>
      <c r="I13" s="2"/>
    </row>
    <row r="14" spans="1:9" x14ac:dyDescent="0.25">
      <c r="A14" s="2"/>
      <c r="B14" s="71" t="s">
        <v>69</v>
      </c>
      <c r="C14" s="72"/>
      <c r="D14" s="73"/>
      <c r="E14" s="9">
        <v>1432175.5999999999</v>
      </c>
      <c r="F14" s="17" t="s">
        <v>4</v>
      </c>
      <c r="G14" s="10"/>
      <c r="H14" s="24"/>
      <c r="I14" s="2"/>
    </row>
    <row r="15" spans="1:9" x14ac:dyDescent="0.25">
      <c r="A15" s="2"/>
      <c r="B15" s="94" t="s">
        <v>18</v>
      </c>
      <c r="C15" s="95"/>
      <c r="D15" s="96"/>
      <c r="E15" s="12">
        <f>SUM(E11:E14)</f>
        <v>6940287.5999999996</v>
      </c>
      <c r="F15" s="20" t="s">
        <v>4</v>
      </c>
      <c r="G15" s="10"/>
      <c r="H15" s="24"/>
      <c r="I15" s="2"/>
    </row>
    <row r="16" spans="1:9" x14ac:dyDescent="0.25">
      <c r="A16" s="2"/>
      <c r="B16" s="71" t="s">
        <v>19</v>
      </c>
      <c r="C16" s="72"/>
      <c r="D16" s="73"/>
      <c r="E16" s="9">
        <v>152687</v>
      </c>
      <c r="F16" s="17" t="s">
        <v>4</v>
      </c>
      <c r="G16" s="10"/>
      <c r="H16" s="24"/>
      <c r="I16" s="2"/>
    </row>
    <row r="17" spans="1:9" x14ac:dyDescent="0.25">
      <c r="A17" s="2"/>
      <c r="B17" s="71" t="s">
        <v>20</v>
      </c>
      <c r="C17" s="72"/>
      <c r="D17" s="73"/>
      <c r="E17" s="9">
        <v>0</v>
      </c>
      <c r="F17" s="17" t="s">
        <v>4</v>
      </c>
      <c r="G17" s="10"/>
      <c r="H17" s="24"/>
      <c r="I17" s="2"/>
    </row>
    <row r="18" spans="1:9" x14ac:dyDescent="0.25">
      <c r="A18" s="2"/>
      <c r="B18" s="71" t="s">
        <v>21</v>
      </c>
      <c r="C18" s="72"/>
      <c r="D18" s="73"/>
      <c r="E18" s="9">
        <v>0</v>
      </c>
      <c r="F18" s="17" t="s">
        <v>4</v>
      </c>
      <c r="G18" s="10"/>
      <c r="H18" s="24"/>
      <c r="I18" s="2"/>
    </row>
    <row r="19" spans="1:9" x14ac:dyDescent="0.25">
      <c r="A19" s="2"/>
      <c r="B19" s="94" t="s">
        <v>22</v>
      </c>
      <c r="C19" s="95"/>
      <c r="D19" s="96"/>
      <c r="E19" s="12">
        <f>SUM(E16:E18)</f>
        <v>152687</v>
      </c>
      <c r="F19" s="20" t="s">
        <v>4</v>
      </c>
      <c r="G19" s="10"/>
      <c r="H19" s="24"/>
      <c r="I19" s="2"/>
    </row>
    <row r="20" spans="1:9" ht="29.25" customHeight="1" x14ac:dyDescent="0.25">
      <c r="A20" s="2"/>
      <c r="B20" s="91" t="s">
        <v>23</v>
      </c>
      <c r="C20" s="92"/>
      <c r="D20" s="93"/>
      <c r="E20" s="9">
        <v>-1143506</v>
      </c>
      <c r="F20" s="17" t="s">
        <v>4</v>
      </c>
      <c r="G20" s="10"/>
      <c r="H20" s="24"/>
      <c r="I20" s="2"/>
    </row>
    <row r="21" spans="1:9" ht="30.75" customHeight="1" x14ac:dyDescent="0.25">
      <c r="A21" s="2"/>
      <c r="B21" s="91" t="s">
        <v>24</v>
      </c>
      <c r="C21" s="92"/>
      <c r="D21" s="93"/>
      <c r="E21" s="9">
        <v>-5759020</v>
      </c>
      <c r="F21" s="17" t="s">
        <v>4</v>
      </c>
      <c r="G21" s="10"/>
      <c r="H21" s="24"/>
      <c r="I21" s="2"/>
    </row>
    <row r="22" spans="1:9" x14ac:dyDescent="0.25">
      <c r="A22" s="2"/>
      <c r="B22" s="71" t="s">
        <v>25</v>
      </c>
      <c r="C22" s="72"/>
      <c r="D22" s="73"/>
      <c r="E22" s="9">
        <v>0</v>
      </c>
      <c r="F22" s="17" t="s">
        <v>4</v>
      </c>
      <c r="G22" s="10"/>
      <c r="H22" s="24"/>
      <c r="I22" s="2"/>
    </row>
    <row r="23" spans="1:9" x14ac:dyDescent="0.25">
      <c r="A23" s="2"/>
      <c r="B23" s="71" t="s">
        <v>26</v>
      </c>
      <c r="C23" s="72"/>
      <c r="D23" s="73"/>
      <c r="E23" s="9">
        <v>0</v>
      </c>
      <c r="F23" s="17" t="s">
        <v>4</v>
      </c>
      <c r="G23" s="10"/>
      <c r="H23" s="24"/>
      <c r="I23" s="2"/>
    </row>
    <row r="24" spans="1:9" ht="30" customHeight="1" x14ac:dyDescent="0.25">
      <c r="A24" s="2"/>
      <c r="B24" s="91" t="s">
        <v>27</v>
      </c>
      <c r="C24" s="92"/>
      <c r="D24" s="93"/>
      <c r="E24" s="9">
        <v>-190449</v>
      </c>
      <c r="F24" s="17" t="s">
        <v>4</v>
      </c>
      <c r="G24" s="10"/>
      <c r="H24" s="24"/>
      <c r="I24" s="2"/>
    </row>
    <row r="25" spans="1:9" ht="30" customHeight="1" x14ac:dyDescent="0.25">
      <c r="A25" s="2"/>
      <c r="B25" s="91" t="s">
        <v>28</v>
      </c>
      <c r="C25" s="92"/>
      <c r="D25" s="93"/>
      <c r="E25" s="9">
        <v>0</v>
      </c>
      <c r="F25" s="17" t="s">
        <v>4</v>
      </c>
      <c r="G25" s="10"/>
      <c r="H25" s="24"/>
      <c r="I25" s="2"/>
    </row>
    <row r="26" spans="1:9" ht="30" customHeight="1" x14ac:dyDescent="0.25">
      <c r="A26" s="2"/>
      <c r="B26" s="91" t="s">
        <v>29</v>
      </c>
      <c r="C26" s="92"/>
      <c r="D26" s="93"/>
      <c r="E26" s="9">
        <v>0</v>
      </c>
      <c r="F26" s="17" t="s">
        <v>4</v>
      </c>
      <c r="G26" s="10"/>
      <c r="H26" s="24"/>
      <c r="I26" s="2"/>
    </row>
    <row r="27" spans="1:9" x14ac:dyDescent="0.25">
      <c r="A27" s="2"/>
      <c r="B27" s="94" t="s">
        <v>30</v>
      </c>
      <c r="C27" s="95"/>
      <c r="D27" s="96"/>
      <c r="E27" s="12">
        <f>SUM(E20:E26)</f>
        <v>-7092975</v>
      </c>
      <c r="F27" s="20" t="s">
        <v>4</v>
      </c>
      <c r="G27" s="11"/>
      <c r="H27" s="25"/>
      <c r="I27" s="2"/>
    </row>
    <row r="28" spans="1:9" x14ac:dyDescent="0.25">
      <c r="A28" s="2"/>
      <c r="B28" s="94" t="s">
        <v>31</v>
      </c>
      <c r="C28" s="95"/>
      <c r="D28" s="96"/>
      <c r="E28" s="12">
        <f>E15+E19+E27</f>
        <v>-0.40000000037252903</v>
      </c>
      <c r="F28" s="20" t="s">
        <v>4</v>
      </c>
      <c r="G28" s="1">
        <f>IF(E28&lt;0,0,-E28)</f>
        <v>0</v>
      </c>
      <c r="H28" s="20" t="s">
        <v>4</v>
      </c>
      <c r="I28" s="2"/>
    </row>
    <row r="29" spans="1:9" x14ac:dyDescent="0.25">
      <c r="A29" s="2"/>
      <c r="B29" s="83" t="s">
        <v>70</v>
      </c>
      <c r="C29" s="84"/>
      <c r="D29" s="84"/>
      <c r="E29" s="84"/>
      <c r="F29" s="84"/>
      <c r="G29" s="84"/>
      <c r="H29" s="85"/>
      <c r="I29" s="2"/>
    </row>
    <row r="30" spans="1:9" x14ac:dyDescent="0.25">
      <c r="A30" s="2"/>
      <c r="B30" s="94" t="s">
        <v>70</v>
      </c>
      <c r="C30" s="95"/>
      <c r="D30" s="96"/>
      <c r="E30" s="12">
        <v>0</v>
      </c>
      <c r="F30" s="20" t="s">
        <v>4</v>
      </c>
      <c r="G30" s="12">
        <f>-$E$30</f>
        <v>0</v>
      </c>
      <c r="H30" s="20" t="s">
        <v>4</v>
      </c>
      <c r="I30" s="2"/>
    </row>
    <row r="31" spans="1:9" x14ac:dyDescent="0.25">
      <c r="A31" s="2"/>
      <c r="B31" s="97" t="s">
        <v>46</v>
      </c>
      <c r="C31" s="84"/>
      <c r="D31" s="84"/>
      <c r="E31" s="84"/>
      <c r="F31" s="84"/>
      <c r="G31" s="84"/>
      <c r="H31" s="85"/>
      <c r="I31" s="2"/>
    </row>
    <row r="32" spans="1:9" ht="30" customHeight="1" x14ac:dyDescent="0.25">
      <c r="A32" s="2"/>
      <c r="B32" s="91" t="s">
        <v>47</v>
      </c>
      <c r="C32" s="92"/>
      <c r="D32" s="93"/>
      <c r="E32" s="9">
        <v>38690044</v>
      </c>
      <c r="F32" s="17" t="s">
        <v>4</v>
      </c>
      <c r="G32" s="14"/>
      <c r="H32" s="23"/>
      <c r="I32" s="2"/>
    </row>
    <row r="33" spans="1:9" x14ac:dyDescent="0.25">
      <c r="A33" s="2"/>
      <c r="B33" s="71" t="s">
        <v>32</v>
      </c>
      <c r="C33" s="72"/>
      <c r="D33" s="73"/>
      <c r="E33" s="9">
        <v>0</v>
      </c>
      <c r="F33" s="17" t="s">
        <v>4</v>
      </c>
      <c r="G33" s="10"/>
      <c r="H33" s="24"/>
      <c r="I33" s="2"/>
    </row>
    <row r="34" spans="1:9" ht="43.5" customHeight="1" x14ac:dyDescent="0.25">
      <c r="A34" s="2"/>
      <c r="B34" s="91" t="s">
        <v>33</v>
      </c>
      <c r="C34" s="92"/>
      <c r="D34" s="93"/>
      <c r="E34" s="9">
        <v>0</v>
      </c>
      <c r="F34" s="17" t="s">
        <v>4</v>
      </c>
      <c r="G34" s="11"/>
      <c r="H34" s="25"/>
      <c r="I34" s="2"/>
    </row>
    <row r="35" spans="1:9" x14ac:dyDescent="0.25">
      <c r="A35" s="2"/>
      <c r="B35" s="94" t="s">
        <v>34</v>
      </c>
      <c r="C35" s="95"/>
      <c r="D35" s="96"/>
      <c r="E35" s="12">
        <f>SUM(E32:E34)</f>
        <v>38690044</v>
      </c>
      <c r="F35" s="20" t="s">
        <v>4</v>
      </c>
      <c r="G35" s="12">
        <f>-E35</f>
        <v>-38690044</v>
      </c>
      <c r="H35" s="20" t="s">
        <v>4</v>
      </c>
      <c r="I35" s="2"/>
    </row>
    <row r="36" spans="1:9" x14ac:dyDescent="0.25">
      <c r="A36" s="2"/>
      <c r="B36" s="83" t="s">
        <v>137</v>
      </c>
      <c r="C36" s="84"/>
      <c r="D36" s="84"/>
      <c r="E36" s="84"/>
      <c r="F36" s="85"/>
      <c r="G36" s="15">
        <f>$G$9+$G$28+$G$30+$G$35</f>
        <v>-937208.90573041886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4" t="s">
        <v>115</v>
      </c>
      <c r="C3" s="74"/>
      <c r="D3" s="74"/>
      <c r="E3" s="74"/>
      <c r="F3" s="74"/>
      <c r="G3" s="74"/>
      <c r="H3" s="2"/>
    </row>
    <row r="4" spans="1:8" ht="15" customHeight="1" x14ac:dyDescent="0.25">
      <c r="A4" s="2"/>
      <c r="B4" s="74"/>
      <c r="C4" s="74"/>
      <c r="D4" s="74"/>
      <c r="E4" s="74"/>
      <c r="F4" s="74"/>
      <c r="G4" s="7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3" t="s">
        <v>135</v>
      </c>
      <c r="C8" s="84"/>
      <c r="D8" s="84"/>
      <c r="E8" s="84"/>
      <c r="F8" s="84"/>
      <c r="G8" s="85"/>
      <c r="H8" s="2"/>
    </row>
    <row r="9" spans="1:8" ht="29.25" customHeight="1" x14ac:dyDescent="0.25">
      <c r="A9" s="2"/>
      <c r="B9" s="76" t="s">
        <v>78</v>
      </c>
      <c r="C9" s="78"/>
      <c r="D9" s="90" t="s">
        <v>42</v>
      </c>
      <c r="E9" s="90"/>
      <c r="F9" s="90" t="s">
        <v>83</v>
      </c>
      <c r="G9" s="90"/>
      <c r="H9" s="2"/>
    </row>
    <row r="10" spans="1:8" x14ac:dyDescent="0.25">
      <c r="A10" s="2"/>
      <c r="B10" s="98" t="s">
        <v>136</v>
      </c>
      <c r="C10" s="99"/>
      <c r="D10" s="47">
        <v>0</v>
      </c>
      <c r="E10" s="17" t="s">
        <v>4</v>
      </c>
      <c r="F10" s="9">
        <v>0</v>
      </c>
      <c r="G10" s="17" t="s">
        <v>4</v>
      </c>
      <c r="H10" s="2"/>
    </row>
    <row r="11" spans="1:8" x14ac:dyDescent="0.25">
      <c r="A11" s="2"/>
      <c r="B11" s="83" t="s">
        <v>85</v>
      </c>
      <c r="C11" s="84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83" t="s">
        <v>95</v>
      </c>
      <c r="C12" s="85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3" t="s">
        <v>131</v>
      </c>
      <c r="C15" s="84"/>
      <c r="D15" s="84"/>
      <c r="E15" s="84"/>
      <c r="F15" s="84"/>
      <c r="G15" s="85"/>
      <c r="H15" s="2"/>
    </row>
    <row r="16" spans="1:8" ht="15" customHeight="1" x14ac:dyDescent="0.25">
      <c r="A16" s="2"/>
      <c r="B16" s="76" t="s">
        <v>149</v>
      </c>
      <c r="C16" s="77"/>
      <c r="D16" s="77"/>
      <c r="E16" s="78"/>
      <c r="F16" s="90" t="s">
        <v>132</v>
      </c>
      <c r="G16" s="90"/>
      <c r="H16" s="2"/>
    </row>
    <row r="17" spans="1:8" x14ac:dyDescent="0.25">
      <c r="A17" s="2"/>
      <c r="B17" s="71" t="s">
        <v>146</v>
      </c>
      <c r="C17" s="72"/>
      <c r="D17" s="72"/>
      <c r="E17" s="73"/>
      <c r="F17" s="9">
        <v>0</v>
      </c>
      <c r="G17" s="17" t="s">
        <v>4</v>
      </c>
      <c r="H17" s="2"/>
    </row>
    <row r="18" spans="1:8" x14ac:dyDescent="0.25">
      <c r="A18" s="2"/>
      <c r="B18" s="83" t="s">
        <v>133</v>
      </c>
      <c r="C18" s="84"/>
      <c r="D18" s="84"/>
      <c r="E18" s="85"/>
      <c r="F18" s="15">
        <f>SUM(F17:F17)</f>
        <v>0</v>
      </c>
      <c r="G18" s="16" t="s">
        <v>4</v>
      </c>
      <c r="H18" s="2"/>
    </row>
    <row r="19" spans="1:8" x14ac:dyDescent="0.25">
      <c r="A19" s="2"/>
      <c r="B19" s="83" t="s">
        <v>134</v>
      </c>
      <c r="C19" s="84"/>
      <c r="D19" s="84"/>
      <c r="E19" s="85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Tyge Helms Skov (KFST)</cp:lastModifiedBy>
  <cp:lastPrinted>2016-06-14T12:57:30Z</cp:lastPrinted>
  <dcterms:created xsi:type="dcterms:W3CDTF">2016-06-02T08:51:18Z</dcterms:created>
  <dcterms:modified xsi:type="dcterms:W3CDTF">2018-08-10T08:59:36Z</dcterms:modified>
</cp:coreProperties>
</file>