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U3" i="16" l="1"/>
  <c r="T3" i="16"/>
  <c r="S3" i="16"/>
  <c r="R3" i="16"/>
  <c r="Q3" i="16"/>
  <c r="P3" i="16"/>
  <c r="O3" i="16"/>
  <c r="N3" i="16"/>
  <c r="M3" i="16"/>
  <c r="L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M4" i="16" l="1"/>
  <c r="N4" i="16"/>
  <c r="O4" i="16"/>
  <c r="P4" i="16"/>
  <c r="Q4" i="16"/>
  <c r="R4" i="16"/>
  <c r="S4" i="16"/>
  <c r="T4" i="16"/>
  <c r="AD3" i="16" s="1"/>
  <c r="U4" i="16"/>
  <c r="L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M5" i="16"/>
  <c r="W3" i="16" s="1"/>
  <c r="N5" i="16"/>
  <c r="R5" i="16"/>
  <c r="T5" i="16"/>
  <c r="M6" i="16"/>
  <c r="Q6" i="16"/>
  <c r="O5" i="16"/>
  <c r="S5" i="16"/>
  <c r="N6" i="16"/>
  <c r="R6" i="16"/>
  <c r="T6" i="16"/>
  <c r="J3" i="24"/>
  <c r="M3" i="24" s="1"/>
  <c r="L5" i="16"/>
  <c r="U6" i="16"/>
  <c r="S6" i="16"/>
  <c r="U5" i="16"/>
  <c r="P5" i="16"/>
  <c r="L6" i="16"/>
  <c r="P6" i="16"/>
  <c r="O6" i="16"/>
  <c r="Q5" i="16"/>
  <c r="AA3" i="16" l="1"/>
  <c r="AB3" i="16"/>
  <c r="AC3" i="16"/>
  <c r="X3" i="16"/>
  <c r="Z3" i="16"/>
  <c r="Y3" i="16"/>
  <c r="AE3" i="16"/>
  <c r="V3" i="16"/>
  <c r="B9" i="12"/>
  <c r="B10" i="12" s="1"/>
  <c r="H3" i="17"/>
  <c r="B4" i="12" s="1"/>
  <c r="I2" i="15"/>
  <c r="K2" i="15" s="1"/>
  <c r="B2" i="12" s="1"/>
  <c r="AF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<sst xmlns="http://schemas.openxmlformats.org/spreadsheetml/2006/main" count="136" uniqueCount="84">
  <si>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</si>
  <si>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</si>
  <si>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</si>
  <si>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</si>
  <si>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</si>
  <si>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</si>
  <si>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</si>
  <si>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</si>
  <si>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</si>
  <si>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</si>
  <si>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</si>
  <si>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</si>
  <si>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</si>
  <si>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</si>
  <si>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</si>
  <si>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</si>
  <si>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</si>
  <si>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</si>
  <si>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</si>
  <si>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</si>
  <si>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</si>
  <si>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</si>
  <si>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</si>
  <si>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</si>
  <si>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</si>
  <si>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Områdeundersøgelser</t>
  </si>
  <si>
    <t>ADK (adgangskontrol)</t>
  </si>
  <si>
    <t>Vand- og Energiværksted</t>
  </si>
  <si>
    <t>Blødt vand</t>
  </si>
  <si>
    <t>Overholdelse af indvindingstilladelser</t>
  </si>
  <si>
    <t>UV-anlæg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</si>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</sst>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7282536.1624479992</v>
      </c>
      <c r="C2" t="s">
        <v>11</v>
      </c>
    </row>
    <row r="3" spans="1:3" s="2" customFormat="1" x14ac:dyDescent="0.25">
      <c r="A3" s="5" t="s">
        <v>8</v>
      </c>
      <c r="B3" s="37">
        <f>'Miljø- og servicemål'!AF3</f>
        <v>1427214.3487999998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61853.559502666656</v>
      </c>
      <c r="C4" t="s">
        <v>11</v>
      </c>
    </row>
    <row r="5" spans="1:3" s="26" customFormat="1" x14ac:dyDescent="0.25">
      <c r="A5" s="3" t="s">
        <v>12</v>
      </c>
      <c r="B5" s="49">
        <f>SUM(B2:B4)</f>
        <v>8771604.0707506668</v>
      </c>
      <c r="C5" s="64" t="s">
        <v>11</v>
      </c>
    </row>
    <row r="6" spans="1:3" x14ac:dyDescent="0.25">
      <c r="A6" s="48" t="s">
        <v>0</v>
      </c>
      <c r="B6" s="39">
        <f>Investeringer!E3</f>
        <v>5738953.5396108339</v>
      </c>
      <c r="C6" s="23" t="s">
        <v>11</v>
      </c>
    </row>
    <row r="7" spans="1:3" x14ac:dyDescent="0.25">
      <c r="A7" s="4" t="s">
        <v>1</v>
      </c>
      <c r="B7" s="36">
        <f>Investeringer!F3</f>
        <v>1176475.437286661</v>
      </c>
      <c r="C7" t="s">
        <v>11</v>
      </c>
    </row>
    <row r="8" spans="1:3" x14ac:dyDescent="0.25">
      <c r="A8" s="4" t="s">
        <v>2</v>
      </c>
      <c r="B8" s="36">
        <f>Investeringer!G3</f>
        <v>243306.17586829953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515262.89605066669</v>
      </c>
      <c r="C9" t="s">
        <v>11</v>
      </c>
    </row>
    <row r="10" spans="1:3" s="22" customFormat="1" x14ac:dyDescent="0.25">
      <c r="A10" s="3" t="s">
        <v>56</v>
      </c>
      <c r="B10" s="49">
        <f>SUM(B6:B9)</f>
        <v>7673998.0488164611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19216394</v>
      </c>
      <c r="C11" t="s">
        <v>11</v>
      </c>
    </row>
    <row r="12" spans="1:3" s="22" customFormat="1" x14ac:dyDescent="0.25">
      <c r="A12" s="3" t="s">
        <v>77</v>
      </c>
      <c r="B12" s="49">
        <f>SUM(B11:B11)</f>
        <v>19216394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67</v>
      </c>
      <c r="B14" s="38">
        <f>SUM(B5,B10,B12)</f>
        <v>35661996.119567126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60</v>
      </c>
      <c r="B16" s="38">
        <f>B14*Pristalsregulering!C8*Pristalsregulering!C9</f>
        <v>35977666.837098539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68</v>
      </c>
      <c r="D1" s="61" t="s">
        <v>69</v>
      </c>
      <c r="E1" s="61" t="s">
        <v>61</v>
      </c>
      <c r="F1" s="53" t="s">
        <v>70</v>
      </c>
      <c r="G1" s="53" t="s">
        <v>78</v>
      </c>
      <c r="H1" s="53" t="s">
        <v>71</v>
      </c>
      <c r="I1" s="53" t="s">
        <v>57</v>
      </c>
      <c r="J1" s="11" t="s">
        <v>72</v>
      </c>
      <c r="K1" s="11" t="s">
        <v>73</v>
      </c>
    </row>
    <row r="2" spans="1:11" s="23" customFormat="1" ht="15.75" thickTop="1" x14ac:dyDescent="0.25">
      <c r="A2" s="28">
        <v>2015</v>
      </c>
      <c r="B2" s="50">
        <v>6571263</v>
      </c>
      <c r="C2" s="50">
        <v>0</v>
      </c>
      <c r="D2" s="50">
        <f>B2+C2</f>
        <v>6571263</v>
      </c>
      <c r="E2" s="51">
        <f>D2</f>
        <v>6571263</v>
      </c>
      <c r="F2" s="50">
        <v>7692310.4942695815</v>
      </c>
      <c r="G2" s="50">
        <v>0</v>
      </c>
      <c r="H2" s="50">
        <f>F2-G2</f>
        <v>7692310.4942695815</v>
      </c>
      <c r="I2" s="50">
        <f>AVERAGEIF(E2:E4,"&lt;&gt;0")</f>
        <v>7282536.1624479992</v>
      </c>
      <c r="J2" s="50">
        <v>3801441.7843007995</v>
      </c>
      <c r="K2" s="40">
        <f>IF(H2&gt;I2,IF(I2&gt;J2,I2,J2),H2)</f>
        <v>7282536.1624479992</v>
      </c>
    </row>
    <row r="3" spans="1:11" s="23" customFormat="1" x14ac:dyDescent="0.25">
      <c r="A3" s="28">
        <v>2014</v>
      </c>
      <c r="B3" s="50">
        <v>6612262</v>
      </c>
      <c r="C3" s="50"/>
      <c r="D3" s="50">
        <f t="shared" ref="D3:D4" si="0">B3+C3</f>
        <v>6612262</v>
      </c>
      <c r="E3" s="51">
        <f>D3*Pristalsregulering!C7</f>
        <v>6617551.8095999993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8524012</v>
      </c>
      <c r="C4" s="50"/>
      <c r="D4" s="50">
        <f t="shared" si="0"/>
        <v>8524012</v>
      </c>
      <c r="E4" s="51">
        <f>D4*Pristalsregulering!$C$6*Pristalsregulering!$C$7</f>
        <v>8658793.6777439993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11" width="30.7109375" customWidth="1"/>
    <col min="12" max="12" width="30.7109375" style="56" customWidth="1"/>
    <col min="13" max="21" width="30.7109375" customWidth="1"/>
    <col min="22" max="22" width="30.7109375" style="56" customWidth="1"/>
    <col min="23" max="31" width="30.7109375" customWidth="1"/>
    <col min="32" max="32" width="30.7109375" style="56" customWidth="1"/>
    <col min="33" max="33" width="9.140625" hidden="1" customWidth="1"/>
    <col min="34" max="68" width="0" hidden="1" customWidth="1"/>
    <col min="69" max="70" width="9.140625" hidden="1" customWidth="1"/>
    <col min="71" max="105" width="0" hidden="1" customWidth="1"/>
    <col min="106" max="106" width="9.140625" hidden="1" customWidth="1"/>
    <col min="107" max="127" width="0" hidden="1" customWidth="1"/>
    <col min="128" max="128" width="9.140625" hidden="1" customWidth="1"/>
    <col min="129" max="135" width="0" hidden="1" customWidth="1"/>
    <col min="136" max="136" width="9.140625" hidden="1" customWidth="1"/>
    <col min="137" max="141" width="0" hidden="1" customWidth="1"/>
    <col min="142" max="142" width="9.140625" hidden="1" customWidth="1"/>
    <col min="143" max="163" width="0" hidden="1" customWidth="1"/>
    <col min="164" max="164" width="9.140625" hidden="1" customWidth="1"/>
    <col min="165" max="171" width="0" hidden="1" customWidth="1"/>
    <col min="172" max="173" width="9.140625" hidden="1" customWidth="1"/>
    <col min="174" max="178" width="0" hidden="1" customWidth="1"/>
    <col min="179" max="179" width="9.140625" hidden="1" customWidth="1"/>
    <col min="180" max="200" width="0" hidden="1" customWidth="1"/>
    <col min="201" max="201" width="9.140625" hidden="1" customWidth="1"/>
    <col min="202" max="208" width="0" hidden="1" customWidth="1"/>
    <col min="209" max="209" width="9.140625" hidden="1" customWidth="1"/>
    <col min="210" max="222" width="0" hidden="1" customWidth="1"/>
    <col min="223" max="223" width="9.140625" hidden="1" customWidth="1"/>
    <col min="224" max="230" width="0" hidden="1" customWidth="1"/>
    <col min="231" max="231" width="9.140625" hidden="1" customWidth="1"/>
    <col min="232" max="238" width="0" hidden="1" customWidth="1"/>
    <col min="239" max="239" width="9.140625" hidden="1" customWidth="1"/>
    <col min="240" max="244" width="0" hidden="1" customWidth="1"/>
    <col min="245" max="245" width="9.140625" hidden="1" customWidth="1"/>
    <col min="246" max="258" width="0" hidden="1" customWidth="1"/>
    <col min="259" max="259" width="9.140625" hidden="1" customWidth="1"/>
    <col min="260" max="266" width="0" hidden="1" customWidth="1"/>
    <col min="267" max="267" width="9.140625" hidden="1" customWidth="1"/>
    <col min="268" max="274" width="0" hidden="1" customWidth="1"/>
    <col min="275" max="276" width="9.140625" hidden="1" customWidth="1"/>
    <col min="277" max="281" width="0" hidden="1" customWidth="1"/>
    <col min="282" max="282" width="9.140625" hidden="1" customWidth="1"/>
    <col min="283" max="295" width="0" hidden="1" customWidth="1"/>
    <col min="296" max="296" width="9.140625" hidden="1" customWidth="1"/>
    <col min="297" max="303" width="0" hidden="1" customWidth="1"/>
    <col min="304" max="304" width="9.140625" hidden="1" customWidth="1"/>
    <col min="305" max="311" width="0" hidden="1" customWidth="1"/>
    <col min="312" max="312" width="9.140625" hidden="1" customWidth="1"/>
    <col min="313" max="317" width="0" hidden="1" customWidth="1"/>
    <col min="318" max="318" width="9.140625" hidden="1" customWidth="1"/>
    <col min="319" max="325" width="0" hidden="1" customWidth="1"/>
    <col min="326" max="326" width="9.140625" hidden="1" customWidth="1"/>
    <col min="32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32" s="27" customFormat="1" ht="15.75" thickBot="1" x14ac:dyDescent="0.3">
      <c r="A1" s="9"/>
      <c r="B1" s="33" t="s">
        <v>80</v>
      </c>
      <c r="C1" s="33"/>
      <c r="D1" s="33"/>
      <c r="E1" s="33"/>
      <c r="F1" s="33"/>
      <c r="G1" s="33"/>
      <c r="H1" s="33"/>
      <c r="I1" s="33"/>
      <c r="J1" s="33"/>
      <c r="K1" s="33"/>
      <c r="L1" s="76" t="s">
        <v>81</v>
      </c>
      <c r="M1" s="77"/>
      <c r="N1" s="10"/>
      <c r="O1" s="10"/>
      <c r="P1" s="10"/>
      <c r="Q1" s="10"/>
      <c r="R1" s="10"/>
      <c r="S1" s="10"/>
      <c r="T1" s="10"/>
      <c r="U1" s="10"/>
      <c r="V1" s="76" t="s">
        <v>82</v>
      </c>
      <c r="W1" s="77"/>
      <c r="X1" s="10"/>
      <c r="Y1" s="10"/>
      <c r="Z1" s="10"/>
      <c r="AA1" s="10"/>
      <c r="AB1" s="10"/>
      <c r="AC1" s="10"/>
      <c r="AD1" s="10"/>
      <c r="AE1" s="10"/>
      <c r="AF1" s="65"/>
    </row>
    <row r="2" spans="1:32" ht="30.75" thickTop="1" x14ac:dyDescent="0.25">
      <c r="A2" s="17" t="s">
        <v>13</v>
      </c>
      <c r="B2" s="34" t="s">
        <v>64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31</v>
      </c>
      <c r="L2" s="57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35" t="s">
        <v>27</v>
      </c>
      <c r="R2" s="35" t="s">
        <v>28</v>
      </c>
      <c r="S2" s="35" t="s">
        <v>29</v>
      </c>
      <c r="T2" s="35" t="s">
        <v>30</v>
      </c>
      <c r="U2" s="35" t="s">
        <v>31</v>
      </c>
      <c r="V2" s="58" t="s">
        <v>22</v>
      </c>
      <c r="W2" s="35" t="s">
        <v>23</v>
      </c>
      <c r="X2" s="35" t="s">
        <v>24</v>
      </c>
      <c r="Y2" s="35" t="s">
        <v>25</v>
      </c>
      <c r="Z2" s="35" t="s">
        <v>26</v>
      </c>
      <c r="AA2" s="35" t="s">
        <v>27</v>
      </c>
      <c r="AB2" s="35" t="s">
        <v>28</v>
      </c>
      <c r="AC2" s="35" t="s">
        <v>29</v>
      </c>
      <c r="AD2" s="35" t="s">
        <v>30</v>
      </c>
      <c r="AE2" s="35" t="s">
        <v>31</v>
      </c>
      <c r="AF2" s="54" t="s">
        <v>32</v>
      </c>
    </row>
    <row r="3" spans="1:32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46">
        <f>B3/Pristalsregulering!$C$8</f>
        <v>0</v>
      </c>
      <c r="M3" s="36">
        <f>C3/Pristalsregulering!$C$8</f>
        <v>0</v>
      </c>
      <c r="N3" s="36">
        <f>D3/Pristalsregulering!$C$8</f>
        <v>0</v>
      </c>
      <c r="O3" s="36">
        <f>E3/Pristalsregulering!$C$8</f>
        <v>0</v>
      </c>
      <c r="P3" s="36">
        <f>F3/Pristalsregulering!$C$8</f>
        <v>0</v>
      </c>
      <c r="Q3" s="36">
        <f>G3/Pristalsregulering!$C$8</f>
        <v>0</v>
      </c>
      <c r="R3" s="36">
        <f>H3/Pristalsregulering!$C$8</f>
        <v>0</v>
      </c>
      <c r="S3" s="36">
        <f>I3/Pristalsregulering!$C$8</f>
        <v>0</v>
      </c>
      <c r="T3" s="36">
        <f>J3/Pristalsregulering!$C$8</f>
        <v>0</v>
      </c>
      <c r="U3" s="36">
        <f>K3/Pristalsregulering!$C$8</f>
        <v>0</v>
      </c>
      <c r="V3" s="46">
        <f t="shared" ref="V3:AE3" si="0">IF(L4=0,0,AVERAGEIF(L4:L6,"&lt;&gt;0"))+L3</f>
        <v>76393.364799999996</v>
      </c>
      <c r="W3" s="39">
        <f t="shared" si="0"/>
        <v>44270</v>
      </c>
      <c r="X3" s="39">
        <f t="shared" si="0"/>
        <v>37813.645199999999</v>
      </c>
      <c r="Y3" s="39">
        <f t="shared" si="0"/>
        <v>598357.33159999992</v>
      </c>
      <c r="Z3" s="39">
        <f t="shared" si="0"/>
        <v>56477.35</v>
      </c>
      <c r="AA3" s="39">
        <f t="shared" si="0"/>
        <v>71007.299999999988</v>
      </c>
      <c r="AB3" s="39">
        <f t="shared" si="0"/>
        <v>419988.7844</v>
      </c>
      <c r="AC3" s="39">
        <f t="shared" si="0"/>
        <v>109400.57279999999</v>
      </c>
      <c r="AD3" s="39">
        <f t="shared" si="0"/>
        <v>0</v>
      </c>
      <c r="AE3" s="39">
        <f t="shared" si="0"/>
        <v>13506</v>
      </c>
      <c r="AF3" s="59">
        <f>SUM(V3:AE3)</f>
        <v>1427214.3487999998</v>
      </c>
    </row>
    <row r="4" spans="1:32" x14ac:dyDescent="0.25">
      <c r="A4" s="28">
        <v>2015</v>
      </c>
      <c r="B4" s="36">
        <v>84320</v>
      </c>
      <c r="C4" s="36">
        <v>44270</v>
      </c>
      <c r="D4" s="36">
        <v>74013</v>
      </c>
      <c r="E4" s="36">
        <v>550369</v>
      </c>
      <c r="F4" s="36">
        <v>15752</v>
      </c>
      <c r="G4" s="36">
        <v>61200</v>
      </c>
      <c r="H4" s="36">
        <v>810493</v>
      </c>
      <c r="I4" s="36">
        <v>151065</v>
      </c>
      <c r="J4" s="36"/>
      <c r="K4" s="36">
        <v>13506</v>
      </c>
      <c r="L4" s="46">
        <f>B4</f>
        <v>84320</v>
      </c>
      <c r="M4" s="36">
        <f>C4</f>
        <v>44270</v>
      </c>
      <c r="N4" s="36">
        <f t="shared" ref="N4:U4" si="1">D4</f>
        <v>74013</v>
      </c>
      <c r="O4" s="36">
        <f t="shared" si="1"/>
        <v>550369</v>
      </c>
      <c r="P4" s="36">
        <f t="shared" si="1"/>
        <v>15752</v>
      </c>
      <c r="Q4" s="36">
        <f t="shared" si="1"/>
        <v>61200</v>
      </c>
      <c r="R4" s="36">
        <f t="shared" si="1"/>
        <v>810493</v>
      </c>
      <c r="S4" s="36">
        <f t="shared" si="1"/>
        <v>151065</v>
      </c>
      <c r="T4" s="36">
        <f t="shared" si="1"/>
        <v>0</v>
      </c>
      <c r="U4" s="36">
        <f t="shared" si="1"/>
        <v>13506</v>
      </c>
      <c r="V4" s="46"/>
      <c r="W4" s="39"/>
      <c r="X4" s="39"/>
      <c r="Y4" s="39"/>
      <c r="Z4" s="39"/>
      <c r="AA4" s="39"/>
      <c r="AB4" s="39"/>
      <c r="AC4" s="39"/>
      <c r="AD4" s="39"/>
      <c r="AE4" s="39"/>
      <c r="AF4" s="55"/>
    </row>
    <row r="5" spans="1:32" x14ac:dyDescent="0.25">
      <c r="A5" s="28">
        <v>2014</v>
      </c>
      <c r="B5" s="36">
        <v>68412</v>
      </c>
      <c r="C5" s="36"/>
      <c r="D5" s="36">
        <v>1613</v>
      </c>
      <c r="E5" s="36">
        <v>645829</v>
      </c>
      <c r="F5" s="36">
        <v>97125</v>
      </c>
      <c r="G5" s="36">
        <v>80750</v>
      </c>
      <c r="H5" s="36">
        <v>29461</v>
      </c>
      <c r="I5" s="36">
        <v>67682</v>
      </c>
      <c r="J5" s="36"/>
      <c r="K5" s="36"/>
      <c r="L5" s="46">
        <f>B5*Pristalsregulering!$C$7</f>
        <v>68466.729599999991</v>
      </c>
      <c r="M5" s="36">
        <f>C5*Pristalsregulering!$C$7</f>
        <v>0</v>
      </c>
      <c r="N5" s="36">
        <f>D5*Pristalsregulering!$C$7</f>
        <v>1614.2903999999999</v>
      </c>
      <c r="O5" s="36">
        <f>E5*Pristalsregulering!$C$7</f>
        <v>646345.66319999995</v>
      </c>
      <c r="P5" s="36">
        <f>F5*Pristalsregulering!$C$7</f>
        <v>97202.7</v>
      </c>
      <c r="Q5" s="36">
        <f>G5*Pristalsregulering!$C$7</f>
        <v>80814.599999999991</v>
      </c>
      <c r="R5" s="36">
        <f>H5*Pristalsregulering!$C$7</f>
        <v>29484.568799999997</v>
      </c>
      <c r="S5" s="36">
        <f>I5*Pristalsregulering!$C$7</f>
        <v>67736.145599999989</v>
      </c>
      <c r="T5" s="36">
        <f>J5*Pristalsregulering!$C$7</f>
        <v>0</v>
      </c>
      <c r="U5" s="36">
        <f>K5*Pristalsregulering!$C$7</f>
        <v>0</v>
      </c>
      <c r="V5" s="46"/>
      <c r="W5" s="36"/>
      <c r="X5" s="36"/>
      <c r="Y5" s="36"/>
      <c r="Z5" s="36"/>
      <c r="AA5" s="36"/>
      <c r="AB5" s="36"/>
      <c r="AC5" s="36"/>
      <c r="AD5" s="36"/>
      <c r="AE5" s="36"/>
      <c r="AF5" s="46"/>
    </row>
    <row r="6" spans="1:32" x14ac:dyDescent="0.25">
      <c r="A6" s="28">
        <v>2013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46">
        <f>B6*Pristalsregulering!$C$7*Pristalsregulering!$C$6</f>
        <v>0</v>
      </c>
      <c r="M6" s="36">
        <f>C6*Pristalsregulering!$C$7*Pristalsregulering!$C$6</f>
        <v>0</v>
      </c>
      <c r="N6" s="36">
        <f>D6*Pristalsregulering!$C$7*Pristalsregulering!$C$6</f>
        <v>0</v>
      </c>
      <c r="O6" s="36">
        <f>E6*Pristalsregulering!$C$7*Pristalsregulering!$C$6</f>
        <v>0</v>
      </c>
      <c r="P6" s="36">
        <f>F6*Pristalsregulering!$C$7*Pristalsregulering!$C$6</f>
        <v>0</v>
      </c>
      <c r="Q6" s="36">
        <f>G6*Pristalsregulering!$C$7*Pristalsregulering!$C$6</f>
        <v>0</v>
      </c>
      <c r="R6" s="36">
        <f>H6*Pristalsregulering!$C$7*Pristalsregulering!$C$6</f>
        <v>0</v>
      </c>
      <c r="S6" s="36">
        <f>I6*Pristalsregulering!$C$7*Pristalsregulering!$C$6</f>
        <v>0</v>
      </c>
      <c r="T6" s="36">
        <f>J6*Pristalsregulering!$C$7*Pristalsregulering!$C$6</f>
        <v>0</v>
      </c>
      <c r="U6" s="36">
        <f>K6*Pristalsregulering!$C$7*Pristalsregulering!$C$6</f>
        <v>0</v>
      </c>
      <c r="V6" s="46"/>
      <c r="W6" s="36"/>
      <c r="X6" s="36"/>
      <c r="Y6" s="36"/>
      <c r="Z6" s="36"/>
      <c r="AA6" s="36"/>
      <c r="AB6" s="36"/>
      <c r="AC6" s="36"/>
      <c r="AD6" s="36"/>
      <c r="AE6" s="36"/>
      <c r="AF6" s="46"/>
    </row>
    <row r="7" spans="1:32" hidden="1" x14ac:dyDescent="0.25"/>
    <row r="8" spans="1:32" hidden="1" x14ac:dyDescent="0.25"/>
    <row r="9" spans="1:32" hidden="1" x14ac:dyDescent="0.25"/>
  </sheetData>
  <sheetProtection password="DFE9" sheet="1" objects="1" scenarios="1"/>
  <mergeCells count="2">
    <mergeCell ref="L1:M1"/>
    <mergeCell ref="V1:W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33</v>
      </c>
      <c r="C1" s="77"/>
      <c r="D1" s="77"/>
      <c r="E1" s="78" t="s">
        <v>62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34</v>
      </c>
      <c r="C2" s="20" t="s">
        <v>35</v>
      </c>
      <c r="D2" s="20" t="s">
        <v>36</v>
      </c>
      <c r="E2" s="16" t="s">
        <v>34</v>
      </c>
      <c r="F2" s="20" t="s">
        <v>35</v>
      </c>
      <c r="G2" s="47" t="s">
        <v>36</v>
      </c>
      <c r="H2" s="6" t="s">
        <v>38</v>
      </c>
    </row>
    <row r="3" spans="1:8" x14ac:dyDescent="0.25">
      <c r="A3" s="31">
        <v>2015</v>
      </c>
      <c r="B3" s="42">
        <v>3058</v>
      </c>
      <c r="C3" s="43">
        <v>23884</v>
      </c>
      <c r="D3" s="43">
        <v>0</v>
      </c>
      <c r="E3" s="42">
        <f>B3</f>
        <v>3058</v>
      </c>
      <c r="F3" s="43">
        <f t="shared" ref="F3:G3" si="0">C3</f>
        <v>23884</v>
      </c>
      <c r="G3" s="44">
        <f t="shared" si="0"/>
        <v>0</v>
      </c>
      <c r="H3" s="45">
        <f>IF(E3=0,0,AVERAGEIF(E3:E5,"&lt;&gt;0"))+IF(F3=0,0,AVERAGEIF(F3:F5,"&lt;&gt;0"))+IF(G3=0,0,AVERAGEIF(G3:G5,"&lt;&gt;0"))</f>
        <v>61853.559502666656</v>
      </c>
    </row>
    <row r="4" spans="1:8" x14ac:dyDescent="0.25">
      <c r="A4" s="31">
        <v>2014</v>
      </c>
      <c r="B4" s="42">
        <v>11124</v>
      </c>
      <c r="C4" s="43">
        <v>58800</v>
      </c>
      <c r="D4" s="43">
        <v>0</v>
      </c>
      <c r="E4" s="42">
        <f>B4*Pristalsregulering!$C$7</f>
        <v>11132.8992</v>
      </c>
      <c r="F4" s="43">
        <f>C4*Pristalsregulering!$C$7</f>
        <v>58847.039999999994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75200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75</v>
      </c>
      <c r="C1" s="79"/>
      <c r="D1" s="80"/>
      <c r="E1" s="81" t="s">
        <v>76</v>
      </c>
      <c r="F1" s="81"/>
      <c r="G1" s="81"/>
    </row>
    <row r="2" spans="1:7" s="22" customFormat="1" ht="15.75" thickTop="1" x14ac:dyDescent="0.25">
      <c r="A2" s="71" t="s">
        <v>13</v>
      </c>
      <c r="B2" s="23" t="s">
        <v>74</v>
      </c>
      <c r="C2" s="23" t="s">
        <v>1</v>
      </c>
      <c r="D2" s="28" t="s">
        <v>83</v>
      </c>
      <c r="E2" s="22" t="s">
        <v>0</v>
      </c>
      <c r="F2" s="22" t="s">
        <v>1</v>
      </c>
      <c r="G2" s="22" t="s">
        <v>83</v>
      </c>
    </row>
    <row r="3" spans="1:7" s="22" customFormat="1" x14ac:dyDescent="0.25">
      <c r="A3" s="72">
        <v>2015</v>
      </c>
      <c r="B3" s="39">
        <v>5271386.9708098751</v>
      </c>
      <c r="C3" s="39">
        <v>1133440.4366666665</v>
      </c>
      <c r="D3" s="41">
        <v>242381.61239999998</v>
      </c>
      <c r="E3" s="36">
        <f>B3*Pristalsregulering!C2*Pristalsregulering!C3*Pristalsregulering!C4*Pristalsregulering!C5*Pristalsregulering!C6*Pristalsregulering!C7</f>
        <v>5738953.5396108339</v>
      </c>
      <c r="F3" s="36">
        <v>1176475.437286661</v>
      </c>
      <c r="G3" s="36">
        <f xml:space="preserve"> D3/Pristalsregulering!$C$8</f>
        <v>243306.17586829953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49</v>
      </c>
      <c r="C1" s="77"/>
      <c r="D1" s="77"/>
      <c r="E1" s="77"/>
      <c r="F1" s="78" t="s">
        <v>63</v>
      </c>
      <c r="G1" s="79"/>
      <c r="H1" s="79"/>
      <c r="I1" s="79"/>
      <c r="J1" s="82" t="s">
        <v>38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50</v>
      </c>
      <c r="C2" s="7" t="s">
        <v>51</v>
      </c>
      <c r="D2" s="7" t="s">
        <v>52</v>
      </c>
      <c r="E2" s="52" t="s">
        <v>53</v>
      </c>
      <c r="F2" s="7" t="s">
        <v>50</v>
      </c>
      <c r="G2" s="7" t="s">
        <v>51</v>
      </c>
      <c r="H2" s="7" t="s">
        <v>52</v>
      </c>
      <c r="I2" s="52" t="s">
        <v>53</v>
      </c>
      <c r="J2" s="20" t="s">
        <v>54</v>
      </c>
      <c r="K2" s="20" t="s">
        <v>51</v>
      </c>
      <c r="L2" s="15" t="s">
        <v>79</v>
      </c>
      <c r="M2" s="6" t="s">
        <v>37</v>
      </c>
      <c r="N2" s="32"/>
    </row>
    <row r="3" spans="1:14" x14ac:dyDescent="0.25">
      <c r="A3" s="28">
        <v>2015</v>
      </c>
      <c r="B3" s="46">
        <v>0</v>
      </c>
      <c r="C3" s="39">
        <v>510492</v>
      </c>
      <c r="D3" s="39">
        <v>6809</v>
      </c>
      <c r="E3" s="41">
        <v>0</v>
      </c>
      <c r="F3" s="39">
        <f>B3</f>
        <v>0</v>
      </c>
      <c r="G3" s="39">
        <f>C3</f>
        <v>510492</v>
      </c>
      <c r="H3" s="39">
        <f>D3</f>
        <v>6809</v>
      </c>
      <c r="I3" s="41">
        <f>E3</f>
        <v>0</v>
      </c>
      <c r="J3" s="43">
        <f>AVERAGE(F3:F5)</f>
        <v>0</v>
      </c>
      <c r="K3" s="43">
        <f>G3</f>
        <v>510492</v>
      </c>
      <c r="L3" s="44">
        <f>AVERAGE(H3:H5)+AVERAGE(I3:I5)</f>
        <v>4770.8960506666672</v>
      </c>
      <c r="M3" s="45">
        <f>SUM(J3:L3)</f>
        <v>515262.89605066669</v>
      </c>
      <c r="N3" s="23"/>
    </row>
    <row r="4" spans="1:14" x14ac:dyDescent="0.25">
      <c r="A4" s="28">
        <v>2014</v>
      </c>
      <c r="B4" s="46">
        <v>0</v>
      </c>
      <c r="C4" s="39">
        <v>291030</v>
      </c>
      <c r="D4" s="39">
        <v>6639</v>
      </c>
      <c r="E4" s="41">
        <v>0</v>
      </c>
      <c r="F4" s="39">
        <f>IF(B4="","",B4*Pristalsregulering!$C$7)</f>
        <v>0</v>
      </c>
      <c r="G4" s="39">
        <f>IF(C4="","",C4*Pristalsregulering!$C$7)</f>
        <v>291262.82399999996</v>
      </c>
      <c r="H4" s="39">
        <f>IF(D4="","",D4*Pristalsregulering!$C$7)</f>
        <v>6644.3111999999992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336934</v>
      </c>
      <c r="D5" s="39">
        <v>846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342261.60040799994</v>
      </c>
      <c r="H5" s="39">
        <f>IF(D5="","",D5*Pristalsregulering!$C$7*Pristalsregulering!$C$6)</f>
        <v>859.37695199999985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39</v>
      </c>
      <c r="C1" s="68" t="s">
        <v>40</v>
      </c>
      <c r="D1" s="68" t="s">
        <v>41</v>
      </c>
      <c r="E1" s="68" t="s">
        <v>42</v>
      </c>
      <c r="F1" s="68" t="s">
        <v>43</v>
      </c>
      <c r="G1" s="68" t="s">
        <v>44</v>
      </c>
      <c r="H1" s="68" t="s">
        <v>45</v>
      </c>
      <c r="I1" s="68" t="s">
        <v>46</v>
      </c>
      <c r="J1" s="68" t="s">
        <v>47</v>
      </c>
      <c r="K1" s="68" t="s">
        <v>65</v>
      </c>
      <c r="L1" s="69" t="s">
        <v>48</v>
      </c>
      <c r="M1" s="14" t="s">
        <v>37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116816</v>
      </c>
      <c r="E2" s="43">
        <v>5548432</v>
      </c>
      <c r="F2" s="43">
        <v>490000</v>
      </c>
      <c r="G2" s="43">
        <v>13028623</v>
      </c>
      <c r="H2" s="43" t="s">
        <v>55</v>
      </c>
      <c r="I2" s="43">
        <v>0</v>
      </c>
      <c r="J2" s="43">
        <v>0</v>
      </c>
      <c r="K2" s="43"/>
      <c r="L2" s="44"/>
      <c r="M2" s="45">
        <f>SUM(B2:L2)</f>
        <v>19216394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55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55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66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58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59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2017-09-12T14:53:20Z</dcterms:modified>
</cp:coreProperties>
</file>