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Tilknyttet aktivitet" sheetId="23" r:id="rId5"/>
    <sheet name="Investeringer" sheetId="20" r:id="rId6"/>
    <sheet name="Finansielle omkostninger" sheetId="24" r:id="rId7"/>
    <sheet name="Ikke-påvirkelige omkostninger" sheetId="18" r:id="rId8"/>
    <sheet name="Pristalsregulering" sheetId="27" r:id="rId9"/>
  </sheets>
  <calcPr calcId="145621"/>
</workbook>
</file>

<file path=xl/calcChain.xml><?xml version="1.0" encoding="utf-8"?>
<calcChain xmlns="http://schemas.openxmlformats.org/spreadsheetml/2006/main">
  <c r="B8" i="12" l="1"/>
  <c r="G3" i="20"/>
  <c r="B9" i="12" s="1"/>
  <c r="E3" i="20"/>
  <c r="B7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K3" i="16" l="1"/>
  <c r="L3" i="16"/>
  <c r="M3" i="16"/>
  <c r="N3" i="16"/>
  <c r="O3" i="16"/>
  <c r="P3" i="16"/>
  <c r="Q3" i="16"/>
  <c r="J3" i="16"/>
  <c r="F3" i="17" l="1"/>
  <c r="G3" i="17"/>
  <c r="B5" i="12" l="1"/>
  <c r="K4" i="16"/>
  <c r="S3" i="16" s="1"/>
  <c r="L4" i="16"/>
  <c r="T3" i="16" s="1"/>
  <c r="M4" i="16"/>
  <c r="N4" i="16"/>
  <c r="O4" i="16"/>
  <c r="P4" i="16"/>
  <c r="X3" i="16" s="1"/>
  <c r="Q4" i="16"/>
  <c r="J4" i="16"/>
  <c r="G3" i="24"/>
  <c r="K3" i="24" s="1"/>
  <c r="H3" i="24"/>
  <c r="I3" i="24"/>
  <c r="F3" i="24"/>
  <c r="B12" i="12"/>
  <c r="B13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N5" i="16"/>
  <c r="O6" i="16"/>
  <c r="K5" i="16"/>
  <c r="M5" i="16"/>
  <c r="P5" i="16"/>
  <c r="N6" i="16"/>
  <c r="J3" i="24"/>
  <c r="M3" i="24" s="1"/>
  <c r="J5" i="16"/>
  <c r="Q6" i="16"/>
  <c r="K6" i="16"/>
  <c r="Q5" i="16"/>
  <c r="Y3" i="16" s="1"/>
  <c r="J6" i="16"/>
  <c r="P6" i="16"/>
  <c r="M6" i="16"/>
  <c r="L5" i="16"/>
  <c r="L6" i="16"/>
  <c r="O5" i="16"/>
  <c r="W3" i="16" l="1"/>
  <c r="V3" i="16"/>
  <c r="R3" i="16"/>
  <c r="U3" i="16"/>
  <c r="B10" i="12"/>
  <c r="B11" i="12" s="1"/>
  <c r="H3" i="17"/>
  <c r="B4" i="12" s="1"/>
  <c r="I2" i="15"/>
  <c r="K2" i="15" s="1"/>
  <c r="B2" i="12" s="1"/>
  <c r="Z3" i="16" l="1"/>
  <c r="B3" i="12" s="1"/>
  <c r="B6" i="12" s="1"/>
  <c r="B15" i="12" l="1"/>
  <c r="B17" i="12" s="1"/>
</calcChain>
</file>

<file path=xl/sharedStrings.xml><?xml version="1.0" encoding="utf-8"?>
<sst xmlns="http://schemas.openxmlformats.org/spreadsheetml/2006/main" count="134" uniqueCount="84">
  <si>
    <t>Historiske investeringer</t>
  </si>
  <si>
    <t>Gennemførte investeringer</t>
  </si>
  <si>
    <t>Planlagte investeringer</t>
  </si>
  <si>
    <t xml:space="preserve">Kr. </t>
  </si>
  <si>
    <t>Finansielle omkostninger</t>
  </si>
  <si>
    <t>Tilknyttet aktivitet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</si>
  <si>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</si>
  <si>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</si>
  <si>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</si>
  <si>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</si>
  <si>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</si>
  <si>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</si>
  <si>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</si>
  <si>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</si>
  <si>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</si>
  <si>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</si>
  <si>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</si>
  <si>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</si>
  <si>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</si>
  <si>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</si>
  <si>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</si>
  <si>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</si>
  <si>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</si>
  <si>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</si>
  <si>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>Kvalitetssikring</t>
  </si>
  <si>
    <t>Ledelsessystem</t>
  </si>
  <si>
    <t>Områdeundersøgelser</t>
  </si>
  <si>
    <t>Blødt vand</t>
  </si>
  <si>
    <t>Fjernaflæsning</t>
  </si>
  <si>
    <t>Beredskabsplan</t>
  </si>
  <si>
    <t>Tilbagestrømningssikring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</si>
  <si>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</si>
  <si>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</si>
  <si>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</si>
  <si>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</si>
  <si>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</si>
  <si>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</si>
  <si>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</si>
  <si>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</si>
  <si>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</si>
  <si>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</si>
  <si>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</si>
  <si>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</si>
  <si>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</si>
  <si>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</si>
  <si>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</si>
  <si>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</si>
  <si>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</si>
  <si>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</si>
  <si>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</si>
  <si>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</si>
  <si>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</si>
  <si>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</si>
  <si>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</si>
  <si>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</si>
  <si>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</si>
  <si>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</si>
  <si>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</si>
  <si>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</si>
  <si>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</si>
  <si>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</si>
  <si>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</si>
  <si>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</si>
  <si>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</si>
  <si>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</si>
  <si>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</si>
  <si>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</si>
  <si>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</si>
  <si>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</si>
  <si>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</si>
  <si>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</si>
  <si>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</si>
  <si>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</si>
  <si>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Drift af tilknyttet aktivitet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</si>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</sst>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Fill="1" applyBorder="1" applyAlignment="1">
      <alignment vertical="top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6" fontId="3" fillId="0" borderId="28" xfId="27368" applyNumberFormat="1" applyFont="1" applyBorder="1"/>
    <xf numFmtId="0" fontId="0" fillId="0" borderId="28" xfId="0" applyBorder="1"/>
    <xf numFmtId="0" fontId="0" fillId="0" borderId="28" xfId="0" applyFont="1" applyFill="1" applyBorder="1" applyAlignment="1">
      <alignment wrapText="1"/>
    </xf>
    <xf numFmtId="0" fontId="0" fillId="0" borderId="28" xfId="0" applyFont="1" applyBorder="1" applyAlignment="1">
      <alignment wrapText="1"/>
    </xf>
    <xf numFmtId="166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3" fillId="0" borderId="24" xfId="0" applyFont="1" applyFill="1" applyBorder="1" applyAlignment="1">
      <alignment wrapText="1"/>
    </xf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0" fillId="0" borderId="0" xfId="27368" applyNumberFormat="1" applyFont="1" applyFill="1" applyBorder="1" applyAlignment="1">
      <alignment wrapText="1"/>
    </xf>
    <xf numFmtId="166" fontId="0" fillId="0" borderId="0" xfId="27368" applyNumberFormat="1" applyFont="1" applyBorder="1" applyAlignment="1">
      <alignment wrapText="1"/>
    </xf>
    <xf numFmtId="166" fontId="3" fillId="0" borderId="26" xfId="0" applyNumberFormat="1" applyFont="1" applyFill="1" applyBorder="1" applyAlignment="1">
      <alignment horizontal="left"/>
    </xf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5" customFormat="1" ht="15.75" thickBot="1" x14ac:dyDescent="0.3">
      <c r="A1" s="19" t="s">
        <v>7</v>
      </c>
      <c r="B1" s="19" t="s">
        <v>8</v>
      </c>
    </row>
    <row r="2" spans="1:3" x14ac:dyDescent="0.25">
      <c r="A2" s="4" t="s">
        <v>6</v>
      </c>
      <c r="B2" s="37">
        <f>'Faktiske driftsomkostninger'!K2</f>
        <v>27784267.119133122</v>
      </c>
      <c r="C2" t="s">
        <v>12</v>
      </c>
    </row>
    <row r="3" spans="1:3" s="2" customFormat="1" x14ac:dyDescent="0.25">
      <c r="A3" s="5" t="s">
        <v>9</v>
      </c>
      <c r="B3" s="38">
        <f>'Miljø- og servicemål'!Z3</f>
        <v>3503146.8504639999</v>
      </c>
      <c r="C3" t="s">
        <v>12</v>
      </c>
    </row>
    <row r="4" spans="1:3" s="2" customFormat="1" x14ac:dyDescent="0.25">
      <c r="A4" s="5" t="s">
        <v>10</v>
      </c>
      <c r="B4" s="38">
        <f>'Revisorerklæringer mm.'!H3</f>
        <v>194074.52746666665</v>
      </c>
      <c r="C4" t="s">
        <v>12</v>
      </c>
    </row>
    <row r="5" spans="1:3" s="27" customFormat="1" x14ac:dyDescent="0.25">
      <c r="A5" s="4" t="s">
        <v>5</v>
      </c>
      <c r="B5" s="37">
        <f>'Tilknyttet aktivitet'!B2</f>
        <v>639797</v>
      </c>
      <c r="C5" s="24" t="s">
        <v>12</v>
      </c>
    </row>
    <row r="6" spans="1:3" s="27" customFormat="1" x14ac:dyDescent="0.25">
      <c r="A6" s="3" t="s">
        <v>13</v>
      </c>
      <c r="B6" s="50">
        <f>SUM(B2:B5)</f>
        <v>32121285.49706379</v>
      </c>
      <c r="C6" s="65" t="s">
        <v>12</v>
      </c>
    </row>
    <row r="7" spans="1:3" x14ac:dyDescent="0.25">
      <c r="A7" s="49" t="s">
        <v>0</v>
      </c>
      <c r="B7" s="40">
        <f>Investeringer!E3</f>
        <v>3557274.0938476217</v>
      </c>
      <c r="C7" s="24" t="s">
        <v>12</v>
      </c>
    </row>
    <row r="8" spans="1:3" x14ac:dyDescent="0.25">
      <c r="A8" s="4" t="s">
        <v>1</v>
      </c>
      <c r="B8" s="37">
        <f>Investeringer!F3</f>
        <v>2211881.7277071425</v>
      </c>
      <c r="C8" t="s">
        <v>12</v>
      </c>
    </row>
    <row r="9" spans="1:3" x14ac:dyDescent="0.25">
      <c r="A9" s="4" t="s">
        <v>2</v>
      </c>
      <c r="B9" s="37">
        <f>Investeringer!G3</f>
        <v>977000</v>
      </c>
      <c r="C9" t="s">
        <v>12</v>
      </c>
    </row>
    <row r="10" spans="1:3" s="23" customFormat="1" x14ac:dyDescent="0.25">
      <c r="A10" s="4" t="s">
        <v>4</v>
      </c>
      <c r="B10" s="37">
        <f>'Finansielle omkostninger'!M3</f>
        <v>2012472.5068653333</v>
      </c>
      <c r="C10" t="s">
        <v>12</v>
      </c>
    </row>
    <row r="11" spans="1:3" s="23" customFormat="1" x14ac:dyDescent="0.25">
      <c r="A11" s="3" t="s">
        <v>55</v>
      </c>
      <c r="B11" s="50">
        <f>SUM(B7:B10)</f>
        <v>8758628.328420097</v>
      </c>
      <c r="C11" s="65" t="s">
        <v>12</v>
      </c>
    </row>
    <row r="12" spans="1:3" s="23" customFormat="1" x14ac:dyDescent="0.25">
      <c r="A12" s="4" t="s">
        <v>11</v>
      </c>
      <c r="B12" s="37">
        <f>'Ikke-påvirkelige omkostninger'!M2</f>
        <v>52337547.25</v>
      </c>
      <c r="C12" t="s">
        <v>12</v>
      </c>
    </row>
    <row r="13" spans="1:3" s="23" customFormat="1" x14ac:dyDescent="0.25">
      <c r="A13" s="3" t="s">
        <v>78</v>
      </c>
      <c r="B13" s="50">
        <f>SUM(B12:B12)</f>
        <v>52337547.25</v>
      </c>
      <c r="C13" s="65" t="s">
        <v>12</v>
      </c>
    </row>
    <row r="14" spans="1:3" x14ac:dyDescent="0.25">
      <c r="A14" s="1"/>
      <c r="B14" s="37"/>
    </row>
    <row r="15" spans="1:3" ht="15.75" thickBot="1" x14ac:dyDescent="0.3">
      <c r="A15" s="28" t="s">
        <v>66</v>
      </c>
      <c r="B15" s="39">
        <f>SUM(B6,B11,B13)</f>
        <v>93217461.075483888</v>
      </c>
      <c r="C15" s="28" t="s">
        <v>3</v>
      </c>
    </row>
    <row r="16" spans="1:3" ht="15.75" thickTop="1" x14ac:dyDescent="0.25"/>
    <row r="17" spans="1:3" ht="15.75" thickBot="1" x14ac:dyDescent="0.3">
      <c r="A17" s="28" t="s">
        <v>59</v>
      </c>
      <c r="B17" s="39">
        <f>B15*Pristalsregulering!C8*Pristalsregulering!C9</f>
        <v>94042597.804384187</v>
      </c>
      <c r="C17" s="28" t="s">
        <v>3</v>
      </c>
    </row>
    <row r="18" spans="1:3" ht="15.75" hidden="1" thickTop="1" x14ac:dyDescent="0.25">
      <c r="B18" s="64"/>
    </row>
    <row r="19" spans="1:3" hidden="1" x14ac:dyDescent="0.25"/>
    <row r="20" spans="1:3" hidden="1" x14ac:dyDescent="0.25"/>
    <row r="21" spans="1:3" hidden="1" x14ac:dyDescent="0.25"/>
    <row r="22" spans="1:3" hidden="1" x14ac:dyDescent="0.25"/>
    <row r="23" spans="1:3" hidden="1" x14ac:dyDescent="0.25"/>
    <row r="24" spans="1:3" hidden="1" x14ac:dyDescent="0.25"/>
    <row r="25" spans="1:3" hidden="1" x14ac:dyDescent="0.25"/>
    <row r="26" spans="1:3" hidden="1" x14ac:dyDescent="0.25"/>
    <row r="27" spans="1:3" hidden="1" x14ac:dyDescent="0.25"/>
    <row r="28" spans="1:3" hidden="1" x14ac:dyDescent="0.25"/>
    <row r="29" spans="1:3" hidden="1" x14ac:dyDescent="0.25"/>
    <row r="30" spans="1:3" hidden="1" x14ac:dyDescent="0.25"/>
    <row r="31" spans="1:3" hidden="1" x14ac:dyDescent="0.25"/>
    <row r="32" spans="1: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2" location="'Ikke-påvirkelige omkostninger'!A1" display="Ikke-påvirkelige omkostninger"/>
    <hyperlink ref="A7" location="'Historiske investeringer'!A1" display="Historiske investeringer"/>
    <hyperlink ref="A8" location="'Gennemførte investeringer'!A1" display="Gennemførte investeringer"/>
    <hyperlink ref="A9" location="'Planlagte investeringer'!A1" display="Planlagte investeringer"/>
    <hyperlink ref="A5" location="'Tilknyttet aktivitet'!A1" display="Tilknyttet aktivitet"/>
    <hyperlink ref="A10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3" bestFit="1" customWidth="1"/>
    <col min="2" max="3" width="15.7109375" style="37" customWidth="1"/>
    <col min="4" max="4" width="22.7109375" style="37" customWidth="1"/>
    <col min="5" max="9" width="15.7109375" style="37" customWidth="1"/>
    <col min="10" max="10" width="29.85546875" style="37" customWidth="1"/>
    <col min="11" max="11" width="44.140625" style="37" customWidth="1"/>
    <col min="12" max="12" width="0" hidden="1" customWidth="1"/>
    <col min="13" max="16384" width="9.140625" hidden="1"/>
  </cols>
  <sheetData>
    <row r="1" spans="1:11" s="63" customFormat="1" ht="60.75" thickBot="1" x14ac:dyDescent="0.3">
      <c r="A1" s="61" t="s">
        <v>14</v>
      </c>
      <c r="B1" s="62" t="s">
        <v>15</v>
      </c>
      <c r="C1" s="62" t="s">
        <v>67</v>
      </c>
      <c r="D1" s="62" t="s">
        <v>68</v>
      </c>
      <c r="E1" s="62" t="s">
        <v>60</v>
      </c>
      <c r="F1" s="54" t="s">
        <v>69</v>
      </c>
      <c r="G1" s="54" t="s">
        <v>79</v>
      </c>
      <c r="H1" s="54" t="s">
        <v>70</v>
      </c>
      <c r="I1" s="54" t="s">
        <v>56</v>
      </c>
      <c r="J1" s="12" t="s">
        <v>71</v>
      </c>
      <c r="K1" s="12" t="s">
        <v>72</v>
      </c>
    </row>
    <row r="2" spans="1:11" s="24" customFormat="1" ht="15.75" thickTop="1" x14ac:dyDescent="0.25">
      <c r="A2" s="29">
        <v>2015</v>
      </c>
      <c r="B2" s="51">
        <v>24847162.620000001</v>
      </c>
      <c r="C2" s="51">
        <v>0</v>
      </c>
      <c r="D2" s="51">
        <f>B2+C2</f>
        <v>24847162.620000001</v>
      </c>
      <c r="E2" s="52">
        <f>D2</f>
        <v>24847162.620000001</v>
      </c>
      <c r="F2" s="51">
        <v>27784267.119133122</v>
      </c>
      <c r="G2" s="51">
        <v>0</v>
      </c>
      <c r="H2" s="51">
        <f>F2-G2</f>
        <v>27784267.119133122</v>
      </c>
      <c r="I2" s="51">
        <f>AVERAGEIF(E2:E4,"&lt;&gt;0")</f>
        <v>28082661.428731997</v>
      </c>
      <c r="J2" s="51">
        <v>21479816.669783104</v>
      </c>
      <c r="K2" s="41">
        <f>IF(H2&gt;I2,IF(I2&gt;J2,I2,J2),H2)</f>
        <v>27784267.119133122</v>
      </c>
    </row>
    <row r="3" spans="1:11" s="24" customFormat="1" x14ac:dyDescent="0.25">
      <c r="A3" s="29">
        <v>2014</v>
      </c>
      <c r="B3" s="51">
        <v>29988502.899999999</v>
      </c>
      <c r="C3" s="51"/>
      <c r="D3" s="51">
        <f t="shared" ref="D3:D4" si="0">B3+C3</f>
        <v>29988502.899999999</v>
      </c>
      <c r="E3" s="52">
        <f>D3*Pristalsregulering!C7</f>
        <v>30012493.702319995</v>
      </c>
      <c r="F3" s="51"/>
      <c r="G3" s="51"/>
      <c r="H3" s="51">
        <f t="shared" ref="H3:H4" si="1">F3-G3</f>
        <v>0</v>
      </c>
      <c r="I3" s="51"/>
      <c r="J3" s="51"/>
      <c r="K3" s="37"/>
    </row>
    <row r="4" spans="1:11" x14ac:dyDescent="0.25">
      <c r="A4" s="29">
        <v>2013</v>
      </c>
      <c r="B4" s="51">
        <v>28930873</v>
      </c>
      <c r="C4" s="51"/>
      <c r="D4" s="51">
        <f t="shared" si="0"/>
        <v>28930873</v>
      </c>
      <c r="E4" s="52">
        <f>D4*Pristalsregulering!$C$6*Pristalsregulering!$C$7</f>
        <v>29388327.963875998</v>
      </c>
      <c r="F4" s="51"/>
      <c r="G4" s="51"/>
      <c r="H4" s="51">
        <f t="shared" si="1"/>
        <v>0</v>
      </c>
      <c r="I4" s="51"/>
      <c r="J4" s="51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9" width="30.7109375" customWidth="1"/>
    <col min="10" max="10" width="30.7109375" style="57" customWidth="1"/>
    <col min="11" max="17" width="30.7109375" customWidth="1"/>
    <col min="18" max="18" width="30.7109375" style="57" customWidth="1"/>
    <col min="19" max="25" width="30.7109375" customWidth="1"/>
    <col min="26" max="26" width="30.7109375" style="57" customWidth="1"/>
    <col min="27" max="27" width="9.140625" hidden="1" customWidth="1"/>
    <col min="28" max="62" width="0" hidden="1" customWidth="1"/>
    <col min="63" max="63" width="9.140625" hidden="1" customWidth="1"/>
    <col min="64" max="86" width="0" hidden="1" customWidth="1"/>
    <col min="87" max="87" width="9.140625" hidden="1" customWidth="1"/>
    <col min="88" max="107" width="0" hidden="1" customWidth="1"/>
    <col min="108" max="108" width="9.140625" hidden="1" customWidth="1"/>
    <col min="109" max="121" width="0" hidden="1" customWidth="1"/>
    <col min="122" max="122" width="9.140625" hidden="1" customWidth="1"/>
    <col min="123" max="123" width="0" hidden="1" customWidth="1"/>
    <col min="124" max="124" width="9.140625" hidden="1" customWidth="1"/>
    <col min="125" max="125" width="0" hidden="1" customWidth="1"/>
    <col min="126" max="126" width="9.140625" hidden="1" customWidth="1"/>
    <col min="127" max="127" width="0" hidden="1" customWidth="1"/>
    <col min="128" max="128" width="9.140625" hidden="1" customWidth="1"/>
    <col min="129" max="129" width="0" hidden="1" customWidth="1"/>
    <col min="130" max="130" width="9.140625" hidden="1" customWidth="1"/>
    <col min="131" max="131" width="0" hidden="1" customWidth="1"/>
    <col min="132" max="132" width="9.140625" hidden="1" customWidth="1"/>
    <col min="133" max="143" width="0" hidden="1" customWidth="1"/>
    <col min="144" max="144" width="9.140625" hidden="1" customWidth="1"/>
    <col min="145" max="157" width="0" hidden="1" customWidth="1"/>
    <col min="158" max="158" width="9.140625" hidden="1" customWidth="1"/>
    <col min="159" max="159" width="0" hidden="1" customWidth="1"/>
    <col min="160" max="160" width="9.140625" hidden="1" customWidth="1"/>
    <col min="161" max="161" width="0" hidden="1" customWidth="1"/>
    <col min="162" max="162" width="9.140625" hidden="1" customWidth="1"/>
    <col min="163" max="163" width="0" hidden="1" customWidth="1"/>
    <col min="164" max="164" width="9.140625" hidden="1" customWidth="1"/>
    <col min="165" max="165" width="0" hidden="1" customWidth="1"/>
    <col min="166" max="166" width="9.140625" hidden="1" customWidth="1"/>
    <col min="167" max="167" width="0" hidden="1" customWidth="1"/>
    <col min="168" max="168" width="9.140625" hidden="1" customWidth="1"/>
    <col min="169" max="181" width="0" hidden="1" customWidth="1"/>
    <col min="182" max="182" width="9.140625" hidden="1" customWidth="1"/>
    <col min="183" max="183" width="0" hidden="1" customWidth="1"/>
    <col min="184" max="184" width="9.140625" hidden="1" customWidth="1"/>
    <col min="185" max="185" width="0" hidden="1" customWidth="1"/>
    <col min="186" max="186" width="9.140625" hidden="1" customWidth="1"/>
    <col min="187" max="187" width="0" hidden="1" customWidth="1"/>
    <col min="188" max="188" width="9.140625" hidden="1" customWidth="1"/>
    <col min="189" max="189" width="0" hidden="1" customWidth="1"/>
    <col min="190" max="190" width="9.140625" hidden="1" customWidth="1"/>
    <col min="191" max="191" width="0" hidden="1" customWidth="1"/>
    <col min="192" max="192" width="9.140625" hidden="1" customWidth="1"/>
    <col min="193" max="202" width="0" hidden="1" customWidth="1"/>
    <col min="203" max="203" width="9.140625" hidden="1" customWidth="1"/>
    <col min="204" max="204" width="0" hidden="1" customWidth="1"/>
    <col min="205" max="205" width="9.140625" hidden="1" customWidth="1"/>
    <col min="206" max="206" width="0" hidden="1" customWidth="1"/>
    <col min="207" max="207" width="9.140625" hidden="1" customWidth="1"/>
    <col min="208" max="208" width="0" hidden="1" customWidth="1"/>
    <col min="209" max="209" width="9.140625" hidden="1" customWidth="1"/>
    <col min="210" max="210" width="0" hidden="1" customWidth="1"/>
    <col min="211" max="211" width="9.140625" hidden="1" customWidth="1"/>
    <col min="212" max="212" width="0" hidden="1" customWidth="1"/>
    <col min="213" max="213" width="9.140625" hidden="1" customWidth="1"/>
    <col min="214" max="216" width="0" hidden="1" customWidth="1"/>
    <col min="217" max="217" width="9.140625" hidden="1" customWidth="1"/>
    <col min="218" max="218" width="0" hidden="1" customWidth="1"/>
    <col min="219" max="219" width="9.140625" hidden="1" customWidth="1"/>
    <col min="220" max="220" width="0" hidden="1" customWidth="1"/>
    <col min="221" max="221" width="9.140625" hidden="1" customWidth="1"/>
    <col min="222" max="222" width="0" hidden="1" customWidth="1"/>
    <col min="223" max="223" width="9.140625" hidden="1" customWidth="1"/>
    <col min="224" max="224" width="0" hidden="1" customWidth="1"/>
    <col min="225" max="225" width="9.140625" hidden="1" customWidth="1"/>
    <col min="226" max="226" width="0" hidden="1" customWidth="1"/>
    <col min="227" max="227" width="9.140625" hidden="1" customWidth="1"/>
    <col min="228" max="228" width="0" hidden="1" customWidth="1"/>
    <col min="229" max="229" width="9.140625" hidden="1" customWidth="1"/>
    <col min="230" max="230" width="0" hidden="1" customWidth="1"/>
    <col min="231" max="231" width="9.140625" hidden="1" customWidth="1"/>
    <col min="232" max="232" width="0" hidden="1" customWidth="1"/>
    <col min="233" max="233" width="9.140625" hidden="1" customWidth="1"/>
    <col min="234" max="234" width="0" hidden="1" customWidth="1"/>
    <col min="235" max="235" width="9.140625" hidden="1" customWidth="1"/>
    <col min="236" max="236" width="0" hidden="1" customWidth="1"/>
    <col min="237" max="237" width="9.140625" hidden="1" customWidth="1"/>
    <col min="238" max="238" width="0" hidden="1" customWidth="1"/>
    <col min="239" max="239" width="9.140625" hidden="1" customWidth="1"/>
    <col min="240" max="240" width="0" hidden="1" customWidth="1"/>
    <col min="241" max="241" width="9.140625" hidden="1" customWidth="1"/>
    <col min="242" max="242" width="0" hidden="1" customWidth="1"/>
    <col min="243" max="243" width="9.140625" hidden="1" customWidth="1"/>
    <col min="244" max="244" width="0" hidden="1" customWidth="1"/>
    <col min="245" max="245" width="9.140625" hidden="1" customWidth="1"/>
    <col min="246" max="246" width="0" hidden="1" customWidth="1"/>
    <col min="247" max="247" width="9.140625" hidden="1" customWidth="1"/>
    <col min="248" max="248" width="0" hidden="1" customWidth="1"/>
    <col min="249" max="249" width="9.140625" hidden="1" customWidth="1"/>
    <col min="250" max="252" width="0" hidden="1" customWidth="1"/>
    <col min="253" max="253" width="9.140625" hidden="1" customWidth="1"/>
    <col min="254" max="254" width="0" hidden="1" customWidth="1"/>
    <col min="255" max="255" width="9.140625" hidden="1" customWidth="1"/>
    <col min="256" max="256" width="0" hidden="1" customWidth="1"/>
    <col min="257" max="257" width="9.140625" hidden="1" customWidth="1"/>
    <col min="258" max="258" width="0" hidden="1" customWidth="1"/>
    <col min="259" max="259" width="9.140625" hidden="1" customWidth="1"/>
    <col min="260" max="260" width="0" hidden="1" customWidth="1"/>
    <col min="261" max="261" width="9.140625" hidden="1" customWidth="1"/>
    <col min="262" max="262" width="0" hidden="1" customWidth="1"/>
    <col min="263" max="263" width="9.140625" hidden="1" customWidth="1"/>
    <col min="264" max="264" width="0" hidden="1" customWidth="1"/>
    <col min="265" max="265" width="9.140625" hidden="1" customWidth="1"/>
    <col min="266" max="266" width="0" hidden="1" customWidth="1"/>
    <col min="267" max="267" width="9.140625" hidden="1" customWidth="1"/>
    <col min="268" max="268" width="0" hidden="1" customWidth="1"/>
    <col min="269" max="269" width="9.140625" hidden="1" customWidth="1"/>
    <col min="270" max="270" width="0" hidden="1" customWidth="1"/>
    <col min="271" max="271" width="9.140625" hidden="1" customWidth="1"/>
    <col min="272" max="272" width="0" hidden="1" customWidth="1"/>
    <col min="273" max="273" width="9.140625" hidden="1" customWidth="1"/>
    <col min="274" max="276" width="0" hidden="1" customWidth="1"/>
    <col min="277" max="277" width="9.140625" hidden="1" customWidth="1"/>
    <col min="278" max="278" width="0" hidden="1" customWidth="1"/>
    <col min="279" max="279" width="9.140625" hidden="1" customWidth="1"/>
    <col min="280" max="280" width="0" hidden="1" customWidth="1"/>
    <col min="281" max="281" width="9.140625" hidden="1" customWidth="1"/>
    <col min="282" max="282" width="0" hidden="1" customWidth="1"/>
    <col min="283" max="283" width="9.140625" hidden="1" customWidth="1"/>
    <col min="284" max="284" width="0" hidden="1" customWidth="1"/>
    <col min="285" max="285" width="9.140625" hidden="1" customWidth="1"/>
    <col min="286" max="286" width="0" hidden="1" customWidth="1"/>
    <col min="287" max="287" width="9.140625" hidden="1" customWidth="1"/>
    <col min="288" max="288" width="0" hidden="1" customWidth="1"/>
    <col min="289" max="289" width="9.140625" hidden="1" customWidth="1"/>
    <col min="290" max="290" width="0" hidden="1" customWidth="1"/>
    <col min="291" max="291" width="9.140625" hidden="1" customWidth="1"/>
    <col min="292" max="292" width="0" hidden="1" customWidth="1"/>
    <col min="293" max="293" width="9.140625" hidden="1" customWidth="1"/>
    <col min="294" max="294" width="0" hidden="1" customWidth="1"/>
    <col min="295" max="295" width="9.140625" hidden="1" customWidth="1"/>
    <col min="296" max="296" width="0" hidden="1" customWidth="1"/>
    <col min="297" max="298" width="9.140625" hidden="1" customWidth="1"/>
    <col min="299" max="299" width="0" hidden="1" customWidth="1"/>
    <col min="300" max="300" width="9.140625" hidden="1" customWidth="1"/>
    <col min="301" max="301" width="0" hidden="1" customWidth="1"/>
    <col min="302" max="302" width="9.140625" hidden="1" customWidth="1"/>
    <col min="303" max="303" width="0" hidden="1" customWidth="1"/>
    <col min="304" max="304" width="9.140625" hidden="1" customWidth="1"/>
    <col min="305" max="305" width="0" hidden="1" customWidth="1"/>
    <col min="306" max="306" width="9.140625" hidden="1" customWidth="1"/>
    <col min="307" max="307" width="0" hidden="1" customWidth="1"/>
    <col min="308" max="308" width="9.140625" hidden="1" customWidth="1"/>
    <col min="309" max="309" width="0" hidden="1" customWidth="1"/>
    <col min="310" max="310" width="9.140625" hidden="1" customWidth="1"/>
    <col min="311" max="311" width="0" hidden="1" customWidth="1"/>
    <col min="312" max="312" width="9.140625" hidden="1" customWidth="1"/>
    <col min="313" max="313" width="0" hidden="1" customWidth="1"/>
    <col min="314" max="314" width="9.140625" hidden="1" customWidth="1"/>
    <col min="315" max="315" width="0" hidden="1" customWidth="1"/>
    <col min="316" max="316" width="9.140625" hidden="1" customWidth="1"/>
    <col min="317" max="317" width="0" hidden="1" customWidth="1"/>
    <col min="318" max="318" width="9.140625" hidden="1" customWidth="1"/>
    <col min="319" max="319" width="0" hidden="1" customWidth="1"/>
    <col min="320" max="320" width="9.140625" hidden="1" customWidth="1"/>
    <col min="321" max="321" width="0" hidden="1" customWidth="1"/>
    <col min="322" max="322" width="9.140625" hidden="1" customWidth="1"/>
    <col min="323" max="323" width="0" hidden="1" customWidth="1"/>
    <col min="324" max="324" width="9.140625" hidden="1" customWidth="1"/>
    <col min="325" max="325" width="0" hidden="1" customWidth="1"/>
    <col min="326" max="326" width="9.140625" hidden="1" customWidth="1"/>
    <col min="327" max="327" width="0" hidden="1" customWidth="1"/>
    <col min="328" max="328" width="9.140625" hidden="1" customWidth="1"/>
    <col min="329" max="329" width="0" hidden="1" customWidth="1"/>
    <col min="330" max="330" width="9.140625" hidden="1" customWidth="1"/>
    <col min="331" max="331" width="0" hidden="1" customWidth="1"/>
    <col min="332" max="332" width="9.140625" hidden="1" customWidth="1"/>
    <col min="333" max="333" width="0" hidden="1" customWidth="1"/>
    <col min="334" max="334" width="9.140625" hidden="1" customWidth="1"/>
    <col min="335" max="335" width="0" hidden="1" customWidth="1"/>
    <col min="336" max="336" width="9.140625" hidden="1" customWidth="1"/>
    <col min="337" max="337" width="0" hidden="1" customWidth="1"/>
    <col min="338" max="338" width="9.140625" hidden="1" customWidth="1"/>
    <col min="339" max="339" width="0" hidden="1" customWidth="1"/>
    <col min="340" max="340" width="9.140625" hidden="1" customWidth="1"/>
    <col min="341" max="341" width="0" hidden="1" customWidth="1"/>
    <col min="342" max="16384" width="9.140625" hidden="1"/>
  </cols>
  <sheetData>
    <row r="1" spans="1:26" s="28" customFormat="1" ht="15.75" thickBot="1" x14ac:dyDescent="0.3">
      <c r="A1" s="10"/>
      <c r="B1" s="34" t="s">
        <v>81</v>
      </c>
      <c r="C1" s="34"/>
      <c r="D1" s="34"/>
      <c r="E1" s="34"/>
      <c r="F1" s="34"/>
      <c r="G1" s="34"/>
      <c r="H1" s="34"/>
      <c r="I1" s="34"/>
      <c r="J1" s="78" t="s">
        <v>82</v>
      </c>
      <c r="K1" s="11"/>
      <c r="L1" s="11"/>
      <c r="M1" s="11"/>
      <c r="N1" s="11"/>
      <c r="O1" s="11"/>
      <c r="P1" s="11"/>
      <c r="Q1" s="11"/>
      <c r="R1" s="78" t="s">
        <v>83</v>
      </c>
      <c r="S1" s="11"/>
      <c r="T1" s="11"/>
      <c r="U1" s="11"/>
      <c r="V1" s="11"/>
      <c r="W1" s="11"/>
      <c r="X1" s="11"/>
      <c r="Y1" s="11"/>
      <c r="Z1" s="66"/>
    </row>
    <row r="2" spans="1:26" ht="30.75" thickTop="1" x14ac:dyDescent="0.25">
      <c r="A2" s="18" t="s">
        <v>14</v>
      </c>
      <c r="B2" s="35" t="s">
        <v>63</v>
      </c>
      <c r="C2" s="36" t="s">
        <v>24</v>
      </c>
      <c r="D2" s="36" t="s">
        <v>25</v>
      </c>
      <c r="E2" s="36" t="s">
        <v>26</v>
      </c>
      <c r="F2" s="36" t="s">
        <v>27</v>
      </c>
      <c r="G2" s="36" t="s">
        <v>28</v>
      </c>
      <c r="H2" s="36" t="s">
        <v>29</v>
      </c>
      <c r="I2" s="36" t="s">
        <v>30</v>
      </c>
      <c r="J2" s="58" t="s">
        <v>23</v>
      </c>
      <c r="K2" s="36" t="s">
        <v>24</v>
      </c>
      <c r="L2" s="36" t="s">
        <v>25</v>
      </c>
      <c r="M2" s="36" t="s">
        <v>26</v>
      </c>
      <c r="N2" s="36" t="s">
        <v>27</v>
      </c>
      <c r="O2" s="36" t="s">
        <v>28</v>
      </c>
      <c r="P2" s="36" t="s">
        <v>29</v>
      </c>
      <c r="Q2" s="36" t="s">
        <v>30</v>
      </c>
      <c r="R2" s="59" t="s">
        <v>23</v>
      </c>
      <c r="S2" s="36" t="s">
        <v>24</v>
      </c>
      <c r="T2" s="36" t="s">
        <v>25</v>
      </c>
      <c r="U2" s="36" t="s">
        <v>26</v>
      </c>
      <c r="V2" s="36" t="s">
        <v>27</v>
      </c>
      <c r="W2" s="36" t="s">
        <v>28</v>
      </c>
      <c r="X2" s="36" t="s">
        <v>29</v>
      </c>
      <c r="Y2" s="36" t="s">
        <v>30</v>
      </c>
      <c r="Z2" s="55" t="s">
        <v>31</v>
      </c>
    </row>
    <row r="3" spans="1:26" s="23" customFormat="1" x14ac:dyDescent="0.25">
      <c r="A3" s="29">
        <v>2016</v>
      </c>
      <c r="B3" s="76"/>
      <c r="C3" s="77">
        <v>200000</v>
      </c>
      <c r="D3" s="77">
        <v>400000</v>
      </c>
      <c r="E3" s="77"/>
      <c r="F3" s="77"/>
      <c r="G3" s="77"/>
      <c r="H3" s="77">
        <v>280000</v>
      </c>
      <c r="I3" s="77"/>
      <c r="J3" s="47">
        <f t="shared" ref="J3" si="0">B3</f>
        <v>0</v>
      </c>
      <c r="K3" s="37">
        <f t="shared" ref="K3:Q4" si="1">C3</f>
        <v>200000</v>
      </c>
      <c r="L3" s="37">
        <f t="shared" si="1"/>
        <v>400000</v>
      </c>
      <c r="M3" s="37">
        <f t="shared" si="1"/>
        <v>0</v>
      </c>
      <c r="N3" s="37">
        <f t="shared" si="1"/>
        <v>0</v>
      </c>
      <c r="O3" s="37">
        <f t="shared" si="1"/>
        <v>0</v>
      </c>
      <c r="P3" s="37">
        <f t="shared" si="1"/>
        <v>280000</v>
      </c>
      <c r="Q3" s="37">
        <f t="shared" si="1"/>
        <v>0</v>
      </c>
      <c r="R3" s="47">
        <f t="shared" ref="R3:Y3" si="2">IF(J4=0,0,AVERAGEIF(J4:J6,"&lt;&gt;0"))+J3</f>
        <v>516628.93046399998</v>
      </c>
      <c r="S3" s="40">
        <f t="shared" si="2"/>
        <v>200000</v>
      </c>
      <c r="T3" s="40">
        <f t="shared" si="2"/>
        <v>400000</v>
      </c>
      <c r="U3" s="40">
        <f t="shared" si="2"/>
        <v>628170.19999999995</v>
      </c>
      <c r="V3" s="40">
        <f t="shared" si="2"/>
        <v>319782.05</v>
      </c>
      <c r="W3" s="40">
        <f t="shared" si="2"/>
        <v>590987.15</v>
      </c>
      <c r="X3" s="40">
        <f t="shared" si="2"/>
        <v>280000</v>
      </c>
      <c r="Y3" s="40">
        <f t="shared" si="2"/>
        <v>567578.52</v>
      </c>
      <c r="Z3" s="60">
        <f>SUM(R3:Y3)</f>
        <v>3503146.8504639999</v>
      </c>
    </row>
    <row r="4" spans="1:26" x14ac:dyDescent="0.25">
      <c r="A4" s="29">
        <v>2015</v>
      </c>
      <c r="B4" s="37">
        <v>326691.90000000002</v>
      </c>
      <c r="C4" s="37"/>
      <c r="D4" s="37"/>
      <c r="E4" s="37">
        <v>628170.19999999995</v>
      </c>
      <c r="F4" s="37">
        <v>319782.05</v>
      </c>
      <c r="G4" s="37">
        <v>590987.15</v>
      </c>
      <c r="H4" s="37"/>
      <c r="I4" s="37">
        <v>567578.52</v>
      </c>
      <c r="J4" s="47">
        <f>B4</f>
        <v>326691.90000000002</v>
      </c>
      <c r="K4" s="37">
        <f t="shared" si="1"/>
        <v>0</v>
      </c>
      <c r="L4" s="37">
        <f t="shared" si="1"/>
        <v>0</v>
      </c>
      <c r="M4" s="37">
        <f t="shared" si="1"/>
        <v>628170.19999999995</v>
      </c>
      <c r="N4" s="37">
        <f t="shared" si="1"/>
        <v>319782.05</v>
      </c>
      <c r="O4" s="37">
        <f t="shared" si="1"/>
        <v>590987.15</v>
      </c>
      <c r="P4" s="37">
        <f t="shared" si="1"/>
        <v>0</v>
      </c>
      <c r="Q4" s="37">
        <f t="shared" si="1"/>
        <v>567578.52</v>
      </c>
      <c r="R4" s="47"/>
      <c r="S4" s="40"/>
      <c r="T4" s="40"/>
      <c r="U4" s="40"/>
      <c r="V4" s="40"/>
      <c r="W4" s="40"/>
      <c r="X4" s="40"/>
      <c r="Y4" s="40"/>
      <c r="Z4" s="56"/>
    </row>
    <row r="5" spans="1:26" x14ac:dyDescent="0.25">
      <c r="A5" s="29">
        <v>2014</v>
      </c>
      <c r="B5" s="37">
        <v>706001.16</v>
      </c>
      <c r="C5" s="37"/>
      <c r="D5" s="37"/>
      <c r="E5" s="37"/>
      <c r="F5" s="37"/>
      <c r="G5" s="37"/>
      <c r="H5" s="37"/>
      <c r="I5" s="37"/>
      <c r="J5" s="47">
        <f>B5*Pristalsregulering!$C$7</f>
        <v>706565.96092799993</v>
      </c>
      <c r="K5" s="37">
        <f>C5*Pristalsregulering!$C$7</f>
        <v>0</v>
      </c>
      <c r="L5" s="37">
        <f>D5*Pristalsregulering!$C$7</f>
        <v>0</v>
      </c>
      <c r="M5" s="37">
        <f>E5*Pristalsregulering!$C$7</f>
        <v>0</v>
      </c>
      <c r="N5" s="37">
        <f>F5*Pristalsregulering!$C$7</f>
        <v>0</v>
      </c>
      <c r="O5" s="37">
        <f>G5*Pristalsregulering!$C$7</f>
        <v>0</v>
      </c>
      <c r="P5" s="37">
        <f>H5*Pristalsregulering!$C$7</f>
        <v>0</v>
      </c>
      <c r="Q5" s="37">
        <f>I5*Pristalsregulering!$C$7</f>
        <v>0</v>
      </c>
      <c r="R5" s="47"/>
      <c r="S5" s="37"/>
      <c r="T5" s="37"/>
      <c r="U5" s="37"/>
      <c r="V5" s="37"/>
      <c r="W5" s="37"/>
      <c r="X5" s="37"/>
      <c r="Y5" s="37"/>
      <c r="Z5" s="47"/>
    </row>
    <row r="6" spans="1:26" x14ac:dyDescent="0.25">
      <c r="A6" s="29">
        <v>2013</v>
      </c>
      <c r="B6" s="37"/>
      <c r="C6" s="37"/>
      <c r="D6" s="37"/>
      <c r="E6" s="37"/>
      <c r="F6" s="37"/>
      <c r="G6" s="37"/>
      <c r="H6" s="37"/>
      <c r="I6" s="37"/>
      <c r="J6" s="47">
        <f>B6*Pristalsregulering!$C$7*Pristalsregulering!$C$6</f>
        <v>0</v>
      </c>
      <c r="K6" s="37">
        <f>C6*Pristalsregulering!$C$7*Pristalsregulering!$C$6</f>
        <v>0</v>
      </c>
      <c r="L6" s="37">
        <f>D6*Pristalsregulering!$C$7*Pristalsregulering!$C$6</f>
        <v>0</v>
      </c>
      <c r="M6" s="37">
        <f>E6*Pristalsregulering!$C$7*Pristalsregulering!$C$6</f>
        <v>0</v>
      </c>
      <c r="N6" s="37">
        <f>F6*Pristalsregulering!$C$7*Pristalsregulering!$C$6</f>
        <v>0</v>
      </c>
      <c r="O6" s="37">
        <f>G6*Pristalsregulering!$C$7*Pristalsregulering!$C$6</f>
        <v>0</v>
      </c>
      <c r="P6" s="37">
        <f>H6*Pristalsregulering!$C$7*Pristalsregulering!$C$6</f>
        <v>0</v>
      </c>
      <c r="Q6" s="37">
        <f>I6*Pristalsregulering!$C$7*Pristalsregulering!$C$6</f>
        <v>0</v>
      </c>
      <c r="R6" s="47"/>
      <c r="S6" s="37"/>
      <c r="T6" s="37"/>
      <c r="U6" s="37"/>
      <c r="V6" s="37"/>
      <c r="W6" s="37"/>
      <c r="X6" s="37"/>
      <c r="Y6" s="37"/>
      <c r="Z6" s="47"/>
    </row>
    <row r="7" spans="1:26" hidden="1" x14ac:dyDescent="0.25"/>
    <row r="8" spans="1:26" hidden="1" x14ac:dyDescent="0.25"/>
    <row r="9" spans="1:26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6" bestFit="1" customWidth="1"/>
    <col min="2" max="2" width="16.140625" style="26" bestFit="1" customWidth="1"/>
    <col min="3" max="3" width="24.28515625" style="26" bestFit="1" customWidth="1"/>
    <col min="4" max="4" width="15.7109375" style="26" customWidth="1"/>
    <col min="5" max="5" width="16.140625" style="26" bestFit="1" customWidth="1"/>
    <col min="6" max="6" width="24.28515625" style="26" bestFit="1" customWidth="1"/>
    <col min="7" max="8" width="15.7109375" style="26" customWidth="1"/>
    <col min="9" max="9" width="9.140625" style="26" hidden="1" customWidth="1"/>
    <col min="10" max="16384" width="9.140625" style="26" hidden="1"/>
  </cols>
  <sheetData>
    <row r="1" spans="1:8" ht="15.75" thickBot="1" x14ac:dyDescent="0.3">
      <c r="A1" s="31"/>
      <c r="B1" s="79" t="s">
        <v>32</v>
      </c>
      <c r="C1" s="80"/>
      <c r="D1" s="80"/>
      <c r="E1" s="81" t="s">
        <v>61</v>
      </c>
      <c r="F1" s="82"/>
      <c r="G1" s="83"/>
      <c r="H1" s="30"/>
    </row>
    <row r="2" spans="1:8" s="22" customFormat="1" ht="15.75" thickTop="1" x14ac:dyDescent="0.25">
      <c r="A2" s="20" t="s">
        <v>14</v>
      </c>
      <c r="B2" s="17" t="s">
        <v>33</v>
      </c>
      <c r="C2" s="21" t="s">
        <v>34</v>
      </c>
      <c r="D2" s="21" t="s">
        <v>35</v>
      </c>
      <c r="E2" s="17" t="s">
        <v>33</v>
      </c>
      <c r="F2" s="21" t="s">
        <v>34</v>
      </c>
      <c r="G2" s="48" t="s">
        <v>35</v>
      </c>
      <c r="H2" s="6" t="s">
        <v>37</v>
      </c>
    </row>
    <row r="3" spans="1:8" x14ac:dyDescent="0.25">
      <c r="A3" s="32">
        <v>2015</v>
      </c>
      <c r="B3" s="43">
        <v>43800</v>
      </c>
      <c r="C3" s="44">
        <v>181160</v>
      </c>
      <c r="D3" s="44">
        <v>0</v>
      </c>
      <c r="E3" s="43">
        <f>B3</f>
        <v>43800</v>
      </c>
      <c r="F3" s="44">
        <f t="shared" ref="F3:G3" si="0">C3</f>
        <v>181160</v>
      </c>
      <c r="G3" s="45">
        <f t="shared" si="0"/>
        <v>0</v>
      </c>
      <c r="H3" s="46">
        <f>IF(E3=0,0,AVERAGEIF(E3:E5,"&lt;&gt;0"))+IF(F3=0,0,AVERAGEIF(F3:F5,"&lt;&gt;0"))+IF(G3=0,0,AVERAGEIF(G3:G5,"&lt;&gt;0"))</f>
        <v>194074.52746666665</v>
      </c>
    </row>
    <row r="4" spans="1:8" x14ac:dyDescent="0.25">
      <c r="A4" s="32">
        <v>2014</v>
      </c>
      <c r="B4" s="43">
        <v>43168</v>
      </c>
      <c r="C4" s="44">
        <v>137200</v>
      </c>
      <c r="D4" s="44">
        <v>0</v>
      </c>
      <c r="E4" s="43">
        <f>B4*Pristalsregulering!$C$7</f>
        <v>43202.534399999997</v>
      </c>
      <c r="F4" s="44">
        <f>C4*Pristalsregulering!$C$7</f>
        <v>137309.75999999998</v>
      </c>
      <c r="G4" s="45">
        <f>D4*Pristalsregulering!$C$7</f>
        <v>0</v>
      </c>
      <c r="H4" s="44"/>
    </row>
    <row r="5" spans="1:8" x14ac:dyDescent="0.25">
      <c r="A5" s="32">
        <v>2013</v>
      </c>
      <c r="B5" s="43">
        <v>42400</v>
      </c>
      <c r="C5" s="44">
        <v>131600</v>
      </c>
      <c r="D5" s="44">
        <v>0</v>
      </c>
      <c r="E5" s="43">
        <f>B5*Pristalsregulering!$C$7*Pristalsregulering!$C$6</f>
        <v>43070.428799999994</v>
      </c>
      <c r="F5" s="44">
        <f>C5*Pristalsregulering!$C$7*Pristalsregulering!$C$6</f>
        <v>133680.85919999998</v>
      </c>
      <c r="G5" s="45">
        <f>D5*Pristalsregulering!$C$7*Pristalsregulering!$C$6</f>
        <v>0</v>
      </c>
      <c r="H5" s="44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B2"/>
  <sheetViews>
    <sheetView workbookViewId="0"/>
  </sheetViews>
  <sheetFormatPr defaultColWidth="0" defaultRowHeight="15" zeroHeight="1" x14ac:dyDescent="0.25"/>
  <cols>
    <col min="1" max="1" width="9.140625" customWidth="1"/>
    <col min="2" max="2" width="17.7109375" bestFit="1" customWidth="1"/>
    <col min="3" max="16384" width="9.140625" hidden="1"/>
  </cols>
  <sheetData>
    <row r="1" spans="1:2" ht="30.75" thickBot="1" x14ac:dyDescent="0.3">
      <c r="A1" s="9" t="s">
        <v>14</v>
      </c>
      <c r="B1" s="69" t="s">
        <v>73</v>
      </c>
    </row>
    <row r="2" spans="1:2" ht="15.75" thickTop="1" x14ac:dyDescent="0.25">
      <c r="A2" s="29">
        <v>2015</v>
      </c>
      <c r="B2" s="37">
        <v>639797</v>
      </c>
    </row>
  </sheetData>
  <sheetProtection password="C6BD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3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3" customFormat="1" ht="15.75" thickBot="1" x14ac:dyDescent="0.3">
      <c r="A1" s="75"/>
      <c r="B1" s="82" t="s">
        <v>76</v>
      </c>
      <c r="C1" s="82"/>
      <c r="D1" s="83"/>
      <c r="E1" s="84" t="s">
        <v>77</v>
      </c>
      <c r="F1" s="84"/>
      <c r="G1" s="84"/>
    </row>
    <row r="2" spans="1:7" s="23" customFormat="1" ht="15.75" thickTop="1" x14ac:dyDescent="0.25">
      <c r="A2" s="73" t="s">
        <v>14</v>
      </c>
      <c r="B2" s="24" t="s">
        <v>74</v>
      </c>
      <c r="C2" s="24" t="s">
        <v>1</v>
      </c>
      <c r="D2" s="29" t="s">
        <v>75</v>
      </c>
      <c r="E2" s="23" t="s">
        <v>0</v>
      </c>
      <c r="F2" s="23" t="s">
        <v>1</v>
      </c>
      <c r="G2" s="23" t="s">
        <v>2</v>
      </c>
    </row>
    <row r="3" spans="1:7" s="23" customFormat="1" x14ac:dyDescent="0.25">
      <c r="A3" s="74">
        <v>2015</v>
      </c>
      <c r="B3" s="40">
        <v>3267454.2807292775</v>
      </c>
      <c r="C3" s="40">
        <v>2153153.0549999992</v>
      </c>
      <c r="D3" s="42">
        <v>977000</v>
      </c>
      <c r="E3" s="37">
        <f>B3*Pristalsregulering!C2*Pristalsregulering!C3*Pristalsregulering!C4*Pristalsregulering!C5*Pristalsregulering!C6*Pristalsregulering!C7</f>
        <v>3557274.0938476217</v>
      </c>
      <c r="F3" s="37">
        <v>2211881.7277071425</v>
      </c>
      <c r="G3" s="37">
        <f>D3</f>
        <v>977000</v>
      </c>
    </row>
    <row r="4" spans="1:7" s="23" customFormat="1" hidden="1" x14ac:dyDescent="0.25">
      <c r="A4" s="24"/>
      <c r="B4" s="24"/>
      <c r="C4" s="24"/>
      <c r="D4" s="24"/>
    </row>
    <row r="5" spans="1:7" s="27" customFormat="1" hidden="1" x14ac:dyDescent="0.25">
      <c r="A5" s="6"/>
      <c r="B5" s="6"/>
      <c r="C5" s="6"/>
      <c r="D5" s="33"/>
    </row>
    <row r="6" spans="1:7" hidden="1" x14ac:dyDescent="0.25">
      <c r="A6" s="26"/>
      <c r="B6" s="72"/>
      <c r="C6" s="44"/>
      <c r="D6" s="24"/>
    </row>
    <row r="7" spans="1:7" hidden="1" x14ac:dyDescent="0.25">
      <c r="A7" s="26"/>
      <c r="B7" s="26"/>
      <c r="C7" s="26"/>
      <c r="D7" s="24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9" customWidth="1"/>
    <col min="6" max="7" width="15.7109375" customWidth="1"/>
    <col min="8" max="8" width="18.140625" bestFit="1" customWidth="1"/>
    <col min="9" max="9" width="15.7109375" style="29" customWidth="1"/>
    <col min="10" max="11" width="15.7109375" customWidth="1"/>
    <col min="12" max="12" width="15.7109375" style="29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1"/>
      <c r="B1" s="79" t="s">
        <v>48</v>
      </c>
      <c r="C1" s="80"/>
      <c r="D1" s="80"/>
      <c r="E1" s="80"/>
      <c r="F1" s="81" t="s">
        <v>62</v>
      </c>
      <c r="G1" s="82"/>
      <c r="H1" s="82"/>
      <c r="I1" s="82"/>
      <c r="J1" s="85" t="s">
        <v>37</v>
      </c>
      <c r="K1" s="84"/>
      <c r="L1" s="86"/>
      <c r="M1" s="14"/>
    </row>
    <row r="2" spans="1:14" s="27" customFormat="1" ht="15.75" thickTop="1" x14ac:dyDescent="0.25">
      <c r="A2" s="20" t="s">
        <v>14</v>
      </c>
      <c r="B2" s="8" t="s">
        <v>49</v>
      </c>
      <c r="C2" s="7" t="s">
        <v>50</v>
      </c>
      <c r="D2" s="7" t="s">
        <v>51</v>
      </c>
      <c r="E2" s="53" t="s">
        <v>52</v>
      </c>
      <c r="F2" s="7" t="s">
        <v>49</v>
      </c>
      <c r="G2" s="7" t="s">
        <v>50</v>
      </c>
      <c r="H2" s="7" t="s">
        <v>51</v>
      </c>
      <c r="I2" s="53" t="s">
        <v>52</v>
      </c>
      <c r="J2" s="21" t="s">
        <v>53</v>
      </c>
      <c r="K2" s="21" t="s">
        <v>50</v>
      </c>
      <c r="L2" s="16" t="s">
        <v>80</v>
      </c>
      <c r="M2" s="6" t="s">
        <v>36</v>
      </c>
      <c r="N2" s="33"/>
    </row>
    <row r="3" spans="1:14" x14ac:dyDescent="0.25">
      <c r="A3" s="29">
        <v>2015</v>
      </c>
      <c r="B3" s="47">
        <v>140473.64000000001</v>
      </c>
      <c r="C3" s="40">
        <v>1929122.81</v>
      </c>
      <c r="D3" s="40">
        <v>20810</v>
      </c>
      <c r="E3" s="42">
        <v>0</v>
      </c>
      <c r="F3" s="40">
        <f>B3</f>
        <v>140473.64000000001</v>
      </c>
      <c r="G3" s="40">
        <f>C3</f>
        <v>1929122.81</v>
      </c>
      <c r="H3" s="40">
        <f>D3</f>
        <v>20810</v>
      </c>
      <c r="I3" s="42">
        <f>E3</f>
        <v>0</v>
      </c>
      <c r="J3" s="44">
        <f>AVERAGE(F3:F5)</f>
        <v>67286.921814666668</v>
      </c>
      <c r="K3" s="44">
        <f>G3</f>
        <v>1929122.81</v>
      </c>
      <c r="L3" s="45">
        <f>AVERAGE(H3:H5)+AVERAGE(I3:I5)</f>
        <v>16062.775050666665</v>
      </c>
      <c r="M3" s="46">
        <f>SUM(J3:L3)</f>
        <v>2012472.5068653333</v>
      </c>
      <c r="N3" s="24"/>
    </row>
    <row r="4" spans="1:14" x14ac:dyDescent="0.25">
      <c r="A4" s="29">
        <v>2014</v>
      </c>
      <c r="B4" s="47">
        <v>735.45</v>
      </c>
      <c r="C4" s="40">
        <v>1874271.49</v>
      </c>
      <c r="D4" s="40">
        <v>26836.76</v>
      </c>
      <c r="E4" s="42">
        <v>0</v>
      </c>
      <c r="F4" s="40">
        <f>IF(B4="","",B4*Pristalsregulering!$C$7)</f>
        <v>736.03836000000001</v>
      </c>
      <c r="G4" s="40">
        <f>IF(C4="","",C4*Pristalsregulering!$C$7)</f>
        <v>1875770.9071919997</v>
      </c>
      <c r="H4" s="40">
        <f>IF(D4="","",D4*Pristalsregulering!$C$7)</f>
        <v>26858.229407999996</v>
      </c>
      <c r="I4" s="42">
        <f>IF(E4="","",E4*Pristalsregulering!$C$7)</f>
        <v>0</v>
      </c>
      <c r="J4" s="40"/>
      <c r="L4" s="42"/>
      <c r="M4" s="37"/>
    </row>
    <row r="5" spans="1:14" x14ac:dyDescent="0.25">
      <c r="A5" s="29">
        <v>2013</v>
      </c>
      <c r="B5" s="47">
        <v>59707</v>
      </c>
      <c r="C5" s="40">
        <v>1792330</v>
      </c>
      <c r="D5" s="40">
        <v>512</v>
      </c>
      <c r="E5" s="42">
        <v>0</v>
      </c>
      <c r="F5" s="40">
        <f>IF(B5="","",B5*Pristalsregulering!$C$7*Pristalsregulering!$C$6)</f>
        <v>60651.087083999984</v>
      </c>
      <c r="G5" s="40">
        <f>IF(C5="","",C5*Pristalsregulering!$C$7*Pristalsregulering!$C$6)</f>
        <v>1820670.3219599996</v>
      </c>
      <c r="H5" s="40">
        <f>IF(D5="","",D5*Pristalsregulering!$C$7*Pristalsregulering!$C$6)</f>
        <v>520.09574399999985</v>
      </c>
      <c r="I5" s="42">
        <f>IF(E5="","",E5*Pristalsregulering!$C$7*Pristalsregulering!$C$6)</f>
        <v>0</v>
      </c>
      <c r="J5" s="37"/>
      <c r="L5" s="42"/>
      <c r="M5" s="37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6" bestFit="1" customWidth="1"/>
    <col min="2" max="2" width="34.28515625" style="26" bestFit="1" customWidth="1"/>
    <col min="3" max="3" width="24" style="26" bestFit="1" customWidth="1"/>
    <col min="4" max="4" width="16.42578125" style="26" bestFit="1" customWidth="1"/>
    <col min="5" max="5" width="23.7109375" style="26" bestFit="1" customWidth="1"/>
    <col min="6" max="6" width="15.7109375" style="26" customWidth="1"/>
    <col min="7" max="7" width="25" style="26" bestFit="1" customWidth="1"/>
    <col min="8" max="8" width="16.5703125" style="26" bestFit="1" customWidth="1"/>
    <col min="9" max="9" width="51.7109375" style="26" bestFit="1" customWidth="1"/>
    <col min="10" max="10" width="44.5703125" style="26" bestFit="1" customWidth="1"/>
    <col min="11" max="11" width="44.5703125" style="26" customWidth="1"/>
    <col min="12" max="12" width="16.85546875" style="32" bestFit="1" customWidth="1"/>
    <col min="13" max="13" width="15.7109375" style="26" customWidth="1"/>
    <col min="14" max="17" width="0" style="26" hidden="1" customWidth="1"/>
    <col min="18" max="16384" width="9.140625" style="26" hidden="1"/>
  </cols>
  <sheetData>
    <row r="1" spans="1:13" s="22" customFormat="1" ht="15.75" thickBot="1" x14ac:dyDescent="0.3">
      <c r="A1" s="13" t="s">
        <v>14</v>
      </c>
      <c r="B1" s="70" t="s">
        <v>38</v>
      </c>
      <c r="C1" s="70" t="s">
        <v>39</v>
      </c>
      <c r="D1" s="70" t="s">
        <v>40</v>
      </c>
      <c r="E1" s="70" t="s">
        <v>41</v>
      </c>
      <c r="F1" s="70" t="s">
        <v>42</v>
      </c>
      <c r="G1" s="70" t="s">
        <v>43</v>
      </c>
      <c r="H1" s="70" t="s">
        <v>44</v>
      </c>
      <c r="I1" s="70" t="s">
        <v>45</v>
      </c>
      <c r="J1" s="70" t="s">
        <v>46</v>
      </c>
      <c r="K1" s="70" t="s">
        <v>64</v>
      </c>
      <c r="L1" s="71" t="s">
        <v>47</v>
      </c>
      <c r="M1" s="15" t="s">
        <v>36</v>
      </c>
    </row>
    <row r="2" spans="1:13" ht="15.75" thickTop="1" x14ac:dyDescent="0.25">
      <c r="A2" s="32">
        <v>2015</v>
      </c>
      <c r="B2" s="44">
        <v>32522.74</v>
      </c>
      <c r="C2" s="44">
        <v>4917581</v>
      </c>
      <c r="D2" s="44">
        <v>466506.51</v>
      </c>
      <c r="E2" s="44">
        <v>10788773</v>
      </c>
      <c r="F2" s="44">
        <v>306109</v>
      </c>
      <c r="G2" s="44">
        <v>35826055</v>
      </c>
      <c r="H2" s="44" t="s">
        <v>54</v>
      </c>
      <c r="I2" s="44">
        <v>0</v>
      </c>
      <c r="J2" s="44">
        <v>0</v>
      </c>
      <c r="K2" s="44"/>
      <c r="L2" s="45"/>
      <c r="M2" s="46">
        <f>SUM(B2:L2)</f>
        <v>52337547.25</v>
      </c>
    </row>
    <row r="3" spans="1:13" hidden="1" x14ac:dyDescent="0.25">
      <c r="B3" s="26">
        <v>32490</v>
      </c>
      <c r="C3" s="26">
        <v>0</v>
      </c>
      <c r="D3" s="26">
        <v>0</v>
      </c>
      <c r="E3" s="26">
        <v>0</v>
      </c>
      <c r="F3" s="26">
        <v>210959</v>
      </c>
      <c r="G3" s="26">
        <v>1661218</v>
      </c>
      <c r="H3" s="26" t="s">
        <v>54</v>
      </c>
    </row>
    <row r="4" spans="1:13" hidden="1" x14ac:dyDescent="0.25">
      <c r="B4" s="26">
        <v>32328</v>
      </c>
      <c r="C4" s="26">
        <v>0</v>
      </c>
      <c r="D4" s="26">
        <v>0</v>
      </c>
      <c r="E4" s="26">
        <v>0</v>
      </c>
      <c r="F4" s="26">
        <v>0</v>
      </c>
      <c r="G4" s="26">
        <v>1602946</v>
      </c>
      <c r="H4" s="26" t="s">
        <v>54</v>
      </c>
    </row>
    <row r="5" spans="1:13" hidden="1" x14ac:dyDescent="0.25">
      <c r="B5" s="26" t="e">
        <v>#N/A</v>
      </c>
      <c r="C5" s="26" t="e">
        <v>#N/A</v>
      </c>
      <c r="D5" s="26" t="e">
        <v>#N/A</v>
      </c>
      <c r="E5" s="26" t="e">
        <v>#N/A</v>
      </c>
      <c r="F5" s="26" t="e">
        <v>#N/A</v>
      </c>
      <c r="G5" s="26" t="e">
        <v>#N/A</v>
      </c>
      <c r="H5" s="26" t="e">
        <v>#N/A</v>
      </c>
      <c r="I5" s="26" t="e">
        <v>#N/A</v>
      </c>
      <c r="J5" s="26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3" bestFit="1" customWidth="1"/>
    <col min="2" max="2" width="12.42578125" style="23" bestFit="1" customWidth="1"/>
    <col min="3" max="3" width="15.42578125" style="23" bestFit="1" customWidth="1"/>
    <col min="4" max="4" width="0" style="23" hidden="1" customWidth="1"/>
    <col min="5" max="16384" width="9.140625" style="23" hidden="1"/>
  </cols>
  <sheetData>
    <row r="1" spans="1:4" ht="15.75" thickBot="1" x14ac:dyDescent="0.3">
      <c r="A1" s="10" t="s">
        <v>14</v>
      </c>
      <c r="B1" s="11" t="s">
        <v>16</v>
      </c>
      <c r="C1" s="11" t="s">
        <v>17</v>
      </c>
      <c r="D1" s="24"/>
    </row>
    <row r="2" spans="1:4" ht="15.75" thickTop="1" x14ac:dyDescent="0.25">
      <c r="A2" s="67" t="s">
        <v>65</v>
      </c>
      <c r="B2" s="68">
        <v>1.11E-2</v>
      </c>
      <c r="C2" s="24">
        <f t="shared" ref="C2" si="0">1+B2</f>
        <v>1.0111000000000001</v>
      </c>
      <c r="D2" s="24"/>
    </row>
    <row r="3" spans="1:4" x14ac:dyDescent="0.25">
      <c r="A3" s="29" t="s">
        <v>18</v>
      </c>
      <c r="B3" s="24">
        <v>5.0000000000000001E-3</v>
      </c>
      <c r="C3" s="24">
        <f t="shared" ref="C3:C6" si="1">1+B3</f>
        <v>1.0049999999999999</v>
      </c>
      <c r="D3" s="24"/>
    </row>
    <row r="4" spans="1:4" x14ac:dyDescent="0.25">
      <c r="A4" s="29" t="s">
        <v>19</v>
      </c>
      <c r="B4" s="24">
        <v>2.3E-2</v>
      </c>
      <c r="C4" s="24">
        <f t="shared" si="1"/>
        <v>1.0229999999999999</v>
      </c>
      <c r="D4" s="24"/>
    </row>
    <row r="5" spans="1:4" x14ac:dyDescent="0.25">
      <c r="A5" s="29" t="s">
        <v>20</v>
      </c>
      <c r="B5" s="24">
        <v>3.1E-2</v>
      </c>
      <c r="C5" s="24">
        <f t="shared" si="1"/>
        <v>1.0309999999999999</v>
      </c>
      <c r="D5" s="24"/>
    </row>
    <row r="6" spans="1:4" x14ac:dyDescent="0.25">
      <c r="A6" s="29" t="s">
        <v>21</v>
      </c>
      <c r="B6" s="24">
        <v>1.4999999999999999E-2</v>
      </c>
      <c r="C6" s="24">
        <f t="shared" si="1"/>
        <v>1.0149999999999999</v>
      </c>
      <c r="D6" s="24"/>
    </row>
    <row r="7" spans="1:4" x14ac:dyDescent="0.25">
      <c r="A7" s="29" t="s">
        <v>22</v>
      </c>
      <c r="B7" s="24">
        <v>8.0000000000000004E-4</v>
      </c>
      <c r="C7" s="24">
        <f>1+B7</f>
        <v>1.0007999999999999</v>
      </c>
      <c r="D7" s="24"/>
    </row>
    <row r="8" spans="1:4" x14ac:dyDescent="0.25">
      <c r="A8" s="29" t="s">
        <v>57</v>
      </c>
      <c r="B8" s="26">
        <v>-3.8E-3</v>
      </c>
      <c r="C8" s="24">
        <f t="shared" ref="C8:C9" si="2">1+B8</f>
        <v>0.99619999999999997</v>
      </c>
      <c r="D8" s="24"/>
    </row>
    <row r="9" spans="1:4" x14ac:dyDescent="0.25">
      <c r="A9" s="29" t="s">
        <v>58</v>
      </c>
      <c r="B9" s="26">
        <v>1.2699999999999999E-2</v>
      </c>
      <c r="C9" s="24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Grundlag</vt:lpstr>
      <vt:lpstr>Faktiske driftsomkostninger</vt:lpstr>
      <vt:lpstr>Miljø- og servicemål</vt:lpstr>
      <vt:lpstr>Revisorerklæringer mm.</vt:lpstr>
      <vt:lpstr>Tilknyttet aktivitet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2016-12-07T17:25:24Z</dcterms:modified>
</cp:coreProperties>
</file>