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931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2" r:id="rId4"/>
    <sheet name="Fane 2.4. Økonomisk ramme 2021" sheetId="23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</sheets>
  <calcPr calcId="145621"/>
</workbook>
</file>

<file path=xl/calcChain.xml><?xml version="1.0" encoding="utf-8"?>
<calcChain xmlns="http://schemas.openxmlformats.org/spreadsheetml/2006/main">
  <c r="G17" i="7" l="1"/>
  <c r="G21" i="7" s="1"/>
  <c r="G12" i="7"/>
  <c r="G13" i="9" l="1"/>
  <c r="G9" i="9"/>
  <c r="G16" i="15" l="1"/>
  <c r="G16" i="9" l="1"/>
  <c r="G12" i="9"/>
  <c r="E12" i="2"/>
  <c r="E13" i="23" l="1"/>
  <c r="E13" i="22"/>
  <c r="E13" i="15"/>
  <c r="G11" i="10"/>
  <c r="G13" i="10" s="1"/>
  <c r="F18" i="20"/>
  <c r="F19" i="20" s="1"/>
  <c r="E15" i="2" s="1"/>
  <c r="G20" i="19" l="1"/>
  <c r="G21" i="19" s="1"/>
  <c r="E11" i="2" s="1"/>
  <c r="F64" i="11" l="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23" i="7"/>
  <c r="G9" i="8" s="1"/>
  <c r="G12" i="8" s="1"/>
  <c r="E10" i="15" l="1"/>
  <c r="E10" i="22"/>
  <c r="E10" i="23"/>
  <c r="E9" i="2"/>
  <c r="E15" i="13"/>
  <c r="F11" i="11"/>
  <c r="F65" i="11"/>
  <c r="E19" i="2" l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66" i="11" s="1"/>
  <c r="G24" i="2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l="1"/>
  <c r="E9" i="22"/>
  <c r="E11" i="22" l="1"/>
  <c r="E12" i="22"/>
  <c r="E14" i="22" s="1"/>
  <c r="G14" i="22" s="1"/>
  <c r="G15" i="22" l="1"/>
  <c r="E9" i="23"/>
  <c r="E11" i="23" l="1"/>
  <c r="E12" i="23"/>
  <c r="E14" i="23" l="1"/>
  <c r="G14" i="23" s="1"/>
  <c r="G15" i="23" s="1"/>
</calcChain>
</file>

<file path=xl/sharedStrings.xml><?xml version="1.0" encoding="utf-8"?>
<sst xmlns="http://schemas.openxmlformats.org/spreadsheetml/2006/main" count="504" uniqueCount="228">
  <si>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</si>
  <si>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</si>
  <si>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</si>
  <si>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</si>
  <si>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</si>
  <si>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</si>
  <si>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</si>
  <si>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</si>
  <si>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</si>
  <si>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</si>
  <si>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</si>
  <si>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</si>
  <si>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</si>
  <si>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</si>
  <si>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</si>
  <si>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</si>
  <si>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</si>
  <si>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</si>
  <si>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</si>
  <si>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</si>
  <si>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</si>
  <si>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</si>
  <si>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</si>
  <si>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</si>
  <si>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</si>
  <si>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</si>
  <si>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</si>
  <si>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</si>
  <si>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</si>
  <si>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</si>
  <si>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</si>
  <si>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</si>
  <si>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</si>
  <si>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</si>
  <si>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</si>
  <si>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</si>
  <si>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</si>
  <si>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</si>
  <si>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</si>
  <si>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</si>
  <si>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</si>
  <si>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</si>
  <si>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</si>
  <si>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</si>
  <si>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</si>
  <si>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</si>
  <si>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</si>
  <si>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</si>
  <si>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</si>
  <si>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</si>
  <si>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</si>
  <si>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</si>
  <si>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</si>
  <si>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</si>
  <si>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</si>
  <si>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</si>
  <si>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</si>
  <si>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</si>
  <si>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</si>
  <si>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</si>
  <si>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</si>
  <si>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</si>
  <si>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</si>
  <si>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</si>
  <si>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</si>
  <si>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</si>
  <si>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</si>
  <si>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</si>
  <si>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</si>
  <si>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</si>
  <si>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</si>
  <si>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</si>
  <si>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</si>
  <si>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</si>
  <si>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</si>
  <si>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</si>
  <si>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</si>
  <si>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</si>
  <si>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</si>
  <si>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</si>
  <si>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</si>
  <si>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</si>
  <si>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</si>
  <si>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</si>
  <si>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</si>
  <si>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</si>
  <si>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</si>
  <si>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</si>
  <si>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</si>
  <si>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</si>
  <si>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</si>
  <si>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</si>
  <si>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</si>
  <si>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</si>
  <si>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</si>
  <si>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</si>
  <si>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</si>
  <si>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</si>
  <si>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</si>
  <si>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</si>
  <si>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</si>
  <si>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</si>
  <si>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</si>
  <si>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</si>
  <si>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</si>
  <si>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</si>
  <si>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</si>
  <si>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</si>
  <si>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</si>
  <si>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</si>
  <si>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</si>
  <si>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</si>
  <si>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</si>
  <si>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</si>
  <si>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</si>
  <si>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</si>
  <si>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</si>
  <si>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</si>
  <si>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</si>
  <si>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</si>
  <si>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</si>
  <si>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</si>
  <si>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</si>
  <si>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</si>
  <si>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</si>
  <si>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</si>
  <si>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</si>
  <si>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</si>
  <si>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</si>
  <si>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</si>
  <si>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</si>
  <si>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</si>
  <si>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</si>
  <si>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</si>
  <si>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</si>
  <si>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</si>
  <si>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</si>
  <si>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</si>
  <si>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</si>
  <si>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</si>
  <si>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</si>
  <si>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</si>
  <si>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</si>
  <si>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Sand- og fedtfang, Mek/EL</t>
  </si>
  <si>
    <t>Sand- og fedtfang, SRO</t>
  </si>
  <si>
    <t>Forklaring, Mek/EL</t>
  </si>
  <si>
    <t>Forklaring, SRO</t>
  </si>
  <si>
    <t>Forafvanding, slam, Mek/EL</t>
  </si>
  <si>
    <t>Forafvanding, slam, SRO</t>
  </si>
  <si>
    <t>Rådnetanke, slam, Mek/EL</t>
  </si>
  <si>
    <t>Rådnetanke, slam, SRO</t>
  </si>
  <si>
    <t>Gasdisponering - elproduktionsanlæg, Mek/EL</t>
  </si>
  <si>
    <t>Gasdisponering - elproduktionsanlæg, SRO</t>
  </si>
  <si>
    <t>Slutafvanding, slam - højteknologisk (centrifuger), Mek/El</t>
  </si>
  <si>
    <t>Slutafvanding, slam - højteknologisk (centrifuger), SRO</t>
  </si>
  <si>
    <t>Nødstrømsanlæg - el-tavle Mek/El</t>
  </si>
  <si>
    <t>Nødstrømsanlæg - el-tavle SRO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</si>
  <si>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</si>
  <si>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</si>
  <si>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</si>
  <si>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</si>
  <si>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Ø 1200 mm &lt; Ledningsnet ≤ Ø 1600 mm</t>
  </si>
  <si>
    <t>Strømpeforing ≤ Ø 200 mm</t>
  </si>
  <si>
    <t>Strømpeforing Ø 200 mm &lt; Ledningsnet ≤ Ø 500 mm</t>
  </si>
  <si>
    <t>Strømpeforing Ø 500 mm &lt; Ledningsnet ≤ Ø 800 mm</t>
  </si>
  <si>
    <t>Strømpeforing Ø 1200 mm &lt; Ledningsnet ≤ Ø 1600 mm</t>
  </si>
  <si>
    <t>Brønde</t>
  </si>
  <si>
    <t>Stik</t>
  </si>
  <si>
    <t>Pumpestationer i brønde (&lt; 6,25 m2), Konstruktioner</t>
  </si>
  <si>
    <t>Pumpestationer i brønde (&lt; 6,25 m2), Mek/EL</t>
  </si>
  <si>
    <t>Pumpestationer i brønde (&lt; 6,25 m2), SRO</t>
  </si>
  <si>
    <t>Kælder</t>
  </si>
  <si>
    <t>Pumpeinstallation Miljøklasse A (100-300 l/s) - Mek/EL</t>
  </si>
  <si>
    <t>Pumpeinstallation Miljøklasse A (100-300 l/s) - SRO</t>
  </si>
  <si>
    <t>Installationer "mekaniske riste og SRO" Miljøklasse A. (7-20 m2) - Mek/EL</t>
  </si>
  <si>
    <t>Installationer "mekaniske riste og SRO" Miljøklasse A. (7-20 m2) - SRO</t>
  </si>
  <si>
    <t>Kælder (7 - 20 m2)</t>
  </si>
  <si>
    <t>Jordbassin Klasse B</t>
  </si>
  <si>
    <t>Indløb-/udløbsarrangement</t>
  </si>
  <si>
    <t>Andre bygninger (tekniske installationer, målere mv.)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</si>
  <si>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</si>
  <si>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</si>
  <si>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</si>
  <si>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</si>
  <si>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</si>
  <si>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</si>
  <si>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</si>
  <si>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</si>
  <si>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</si>
  <si>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Undersøgelsesudgifter i forbindelse med fusion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</si>
  <si>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</si>
  <si>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</si>
  <si>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</si>
  <si>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</si>
  <si>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</si>
  <si>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</si>
  <si>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</si>
  <si>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</si>
  <si>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</si>
  <si>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</si>
  <si>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</si>
  <si>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</si>
  <si>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</si>
  <si>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</si>
  <si>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</si>
  <si>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</si>
  <si>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</si>
  <si>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</si>
  <si>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Midlertidigt tillæg iht. § 8, stk. 3 (PL-bekendtgørelsen)</t>
  </si>
  <si>
    <t>Fane 2.3: Samlet økonomisk ramme for 2020</t>
  </si>
  <si>
    <t>Omkostninger i den økonomiske ramme for 2019</t>
  </si>
  <si>
    <t>Økonomisk ramme for 2020</t>
  </si>
  <si>
    <t>Omkostninger i den økonomiske ramme for 2020</t>
  </si>
  <si>
    <t>Fane 2.4: Samlet økonomisk ramme for 2021</t>
  </si>
  <si>
    <t>Økonomisk ramme for 2021</t>
  </si>
  <si>
    <t>Korrigeret grundlag til brug for den økonomiske ramme for 2018 og frem  (i 2017-niveau) inden overtagelse af private kloakanlæg</t>
  </si>
  <si>
    <t>Korrigeret grundlag til brug for den økonomiske ramme for 2018 og frem  (i 2017-niveau) efter overtagelse af private kloakanlæg</t>
  </si>
  <si>
    <t xml:space="preserve">Anlægsomkostninger inkl. finansielle omkostninger som følge af overtagelse af et private kloakanlæg </t>
  </si>
  <si>
    <t xml:space="preserve">Laanshøj, anlægsaktiver værdiansat ud fra pris- og levetidskatalog (2017-prisniveau) </t>
  </si>
  <si>
    <t xml:space="preserve">Laanshøj, anlægsaktiver prissat som gennemførte investeringer (2017-prisniveau) </t>
  </si>
  <si>
    <t>Samlede anlægsomkostninger til grundlag i den økonomiske ramme for 2017</t>
  </si>
  <si>
    <t xml:space="preserve">kr. </t>
  </si>
  <si>
    <t>Fane 2.3</t>
  </si>
  <si>
    <t>Fane 2.4</t>
  </si>
  <si>
    <t>Samlet økonomisk ramme for 2020</t>
  </si>
  <si>
    <t>Samlet økonomisk ramme for 2021</t>
  </si>
  <si>
    <t>Til økonomisk ramme for 2018, 2019, 2020 og 2021.</t>
  </si>
  <si>
    <t>Beregningen af anlægsomkostningerne for overtagelse af private kloakanlæg ved Laanshøj fremgår af bilagene 1 og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</si>
</sst>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0" fontId="17" fillId="0" borderId="0"/>
    <xf numFmtId="9" fontId="17" fillId="0" borderId="0" applyFont="0" applyFill="0" applyBorder="0" applyAlignment="0" applyProtection="0"/>
  </cellStyleXfs>
  <cellXfs count="111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0" fillId="2" borderId="0" xfId="0" applyFill="1" applyProtection="1"/>
    <xf numFmtId="0" fontId="0" fillId="0" borderId="0" xfId="0" applyProtection="1"/>
    <xf numFmtId="0" fontId="3" fillId="2" borderId="0" xfId="0" applyFont="1" applyFill="1" applyBorder="1" applyProtection="1"/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1" xfId="0" applyFont="1" applyFill="1" applyBorder="1" applyAlignment="1" applyProtection="1">
      <alignment horizontal="left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</cellXfs>
  <cellStyles count="6">
    <cellStyle name="Komma" xfId="1" builtinId="3"/>
    <cellStyle name="Link" xfId="2" builtinId="8"/>
    <cellStyle name="Normal" xfId="0" builtinId="0"/>
    <cellStyle name="Normal 12" xfId="3"/>
    <cellStyle name="Normal 2" xfId="4"/>
    <cellStyle name="Procent 2" xf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4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5"/>
    <col min="5" max="5" width="11.7109375" style="35" customWidth="1"/>
    <col min="6" max="6" width="11.5703125" style="35" customWidth="1"/>
    <col min="7" max="16384" width="9.140625" style="35"/>
  </cols>
  <sheetData>
    <row r="1" spans="1:9" x14ac:dyDescent="0.25">
      <c r="A1" s="34"/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ht="1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9" ht="15" customHeight="1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ht="15" customHeight="1" x14ac:dyDescent="0.25">
      <c r="A6" s="34"/>
      <c r="B6" s="34"/>
      <c r="C6" s="2"/>
      <c r="D6" s="59" t="s">
        <v>5</v>
      </c>
      <c r="E6" s="59"/>
      <c r="F6" s="59"/>
      <c r="G6" s="59"/>
      <c r="H6" s="2"/>
      <c r="I6" s="34"/>
    </row>
    <row r="7" spans="1:9" ht="15" customHeight="1" x14ac:dyDescent="0.25">
      <c r="A7" s="34"/>
      <c r="B7" s="34"/>
      <c r="C7" s="2"/>
      <c r="D7" s="59"/>
      <c r="E7" s="59"/>
      <c r="F7" s="59"/>
      <c r="G7" s="59"/>
      <c r="H7" s="2"/>
      <c r="I7" s="34"/>
    </row>
    <row r="8" spans="1:9" ht="15.75" x14ac:dyDescent="0.25">
      <c r="A8" s="34"/>
      <c r="B8" s="34"/>
      <c r="C8" s="3"/>
      <c r="D8" s="64" t="s">
        <v>226</v>
      </c>
      <c r="E8" s="64"/>
      <c r="F8" s="64"/>
      <c r="G8" s="64"/>
      <c r="H8" s="3"/>
      <c r="I8" s="34"/>
    </row>
    <row r="9" spans="1:9" x14ac:dyDescent="0.25">
      <c r="A9" s="34"/>
      <c r="B9" s="34"/>
      <c r="C9" s="4"/>
      <c r="D9" s="4"/>
      <c r="E9" s="4"/>
      <c r="F9" s="4"/>
      <c r="G9" s="4"/>
      <c r="H9" s="4"/>
      <c r="I9" s="34"/>
    </row>
    <row r="10" spans="1:9" x14ac:dyDescent="0.25">
      <c r="A10" s="34"/>
      <c r="B10" s="4"/>
      <c r="C10" s="4"/>
      <c r="D10" s="4"/>
      <c r="E10" s="4"/>
      <c r="F10" s="4"/>
      <c r="G10" s="4"/>
      <c r="H10" s="4"/>
      <c r="I10" s="34"/>
    </row>
    <row r="11" spans="1:9" x14ac:dyDescent="0.25">
      <c r="A11" s="34"/>
      <c r="B11" s="4"/>
      <c r="C11" s="4"/>
      <c r="D11" s="63" t="s">
        <v>6</v>
      </c>
      <c r="E11" s="63"/>
      <c r="F11" s="63"/>
      <c r="G11" s="63"/>
      <c r="H11" s="4"/>
      <c r="I11" s="34"/>
    </row>
    <row r="12" spans="1:9" x14ac:dyDescent="0.25">
      <c r="A12" s="34"/>
      <c r="B12" s="34"/>
      <c r="C12" s="34"/>
      <c r="D12" s="34"/>
      <c r="E12" s="34"/>
      <c r="F12" s="34"/>
      <c r="G12" s="34"/>
      <c r="H12" s="34"/>
      <c r="I12" s="34"/>
    </row>
    <row r="13" spans="1:9" x14ac:dyDescent="0.25">
      <c r="A13" s="34"/>
      <c r="B13" s="34"/>
      <c r="C13" s="36" t="s">
        <v>7</v>
      </c>
      <c r="D13" s="56" t="s">
        <v>68</v>
      </c>
      <c r="E13" s="57"/>
      <c r="F13" s="57"/>
      <c r="G13" s="58"/>
      <c r="H13" s="34"/>
      <c r="I13" s="34"/>
    </row>
    <row r="14" spans="1:9" x14ac:dyDescent="0.25">
      <c r="A14" s="34"/>
      <c r="B14" s="34"/>
      <c r="C14" s="36" t="s">
        <v>67</v>
      </c>
      <c r="D14" s="56" t="s">
        <v>69</v>
      </c>
      <c r="E14" s="57"/>
      <c r="F14" s="57"/>
      <c r="G14" s="58"/>
      <c r="H14" s="34"/>
      <c r="I14" s="34"/>
    </row>
    <row r="15" spans="1:9" x14ac:dyDescent="0.25">
      <c r="A15" s="34"/>
      <c r="B15" s="34"/>
      <c r="C15" s="36" t="s">
        <v>222</v>
      </c>
      <c r="D15" s="56" t="s">
        <v>224</v>
      </c>
      <c r="E15" s="74"/>
      <c r="F15" s="74"/>
      <c r="G15" s="75"/>
      <c r="H15" s="34"/>
      <c r="I15" s="34"/>
    </row>
    <row r="16" spans="1:9" x14ac:dyDescent="0.25">
      <c r="A16" s="34"/>
      <c r="B16" s="34"/>
      <c r="C16" s="36" t="s">
        <v>223</v>
      </c>
      <c r="D16" s="56" t="s">
        <v>225</v>
      </c>
      <c r="E16" s="74"/>
      <c r="F16" s="74"/>
      <c r="G16" s="75"/>
      <c r="H16" s="34"/>
      <c r="I16" s="34"/>
    </row>
    <row r="17" spans="1:9" x14ac:dyDescent="0.25">
      <c r="A17" s="34"/>
      <c r="B17" s="34"/>
      <c r="C17" s="36" t="s">
        <v>8</v>
      </c>
      <c r="D17" s="65" t="s">
        <v>62</v>
      </c>
      <c r="E17" s="66"/>
      <c r="F17" s="66"/>
      <c r="G17" s="67"/>
      <c r="H17" s="34"/>
      <c r="I17" s="34"/>
    </row>
    <row r="18" spans="1:9" x14ac:dyDescent="0.25">
      <c r="A18" s="34"/>
      <c r="B18" s="34"/>
      <c r="C18" s="36" t="s">
        <v>9</v>
      </c>
      <c r="D18" s="65" t="s">
        <v>49</v>
      </c>
      <c r="E18" s="66"/>
      <c r="F18" s="66"/>
      <c r="G18" s="67"/>
      <c r="H18" s="34"/>
      <c r="I18" s="34"/>
    </row>
    <row r="19" spans="1:9" x14ac:dyDescent="0.25">
      <c r="A19" s="34"/>
      <c r="B19" s="34"/>
      <c r="C19" s="36" t="s">
        <v>10</v>
      </c>
      <c r="D19" s="68" t="s">
        <v>15</v>
      </c>
      <c r="E19" s="69"/>
      <c r="F19" s="69"/>
      <c r="G19" s="70"/>
      <c r="H19" s="34"/>
      <c r="I19" s="34"/>
    </row>
    <row r="20" spans="1:9" x14ac:dyDescent="0.25">
      <c r="A20" s="34"/>
      <c r="B20" s="34"/>
      <c r="C20" s="36" t="s">
        <v>11</v>
      </c>
      <c r="D20" s="68" t="s">
        <v>16</v>
      </c>
      <c r="E20" s="69"/>
      <c r="F20" s="69"/>
      <c r="G20" s="70"/>
      <c r="H20" s="34"/>
      <c r="I20" s="34"/>
    </row>
    <row r="21" spans="1:9" x14ac:dyDescent="0.25">
      <c r="A21" s="34"/>
      <c r="B21" s="34"/>
      <c r="C21" s="36" t="s">
        <v>12</v>
      </c>
      <c r="D21" s="71" t="s">
        <v>17</v>
      </c>
      <c r="E21" s="72"/>
      <c r="F21" s="72"/>
      <c r="G21" s="73"/>
      <c r="H21" s="34"/>
      <c r="I21" s="34"/>
    </row>
    <row r="22" spans="1:9" x14ac:dyDescent="0.25">
      <c r="A22" s="34"/>
      <c r="B22" s="34"/>
      <c r="C22" s="36" t="s">
        <v>13</v>
      </c>
      <c r="D22" s="60" t="s">
        <v>74</v>
      </c>
      <c r="E22" s="61"/>
      <c r="F22" s="61"/>
      <c r="G22" s="62"/>
      <c r="H22" s="34"/>
      <c r="I22" s="34"/>
    </row>
    <row r="23" spans="1:9" x14ac:dyDescent="0.25">
      <c r="A23" s="34"/>
      <c r="B23" s="34"/>
      <c r="C23" s="36" t="s">
        <v>14</v>
      </c>
      <c r="D23" s="60" t="s">
        <v>97</v>
      </c>
      <c r="E23" s="61"/>
      <c r="F23" s="61"/>
      <c r="G23" s="62"/>
      <c r="H23" s="34"/>
      <c r="I23" s="34"/>
    </row>
    <row r="24" spans="1:9" x14ac:dyDescent="0.25">
      <c r="A24" s="34"/>
      <c r="B24" s="34"/>
      <c r="C24" s="36" t="s">
        <v>58</v>
      </c>
      <c r="D24" s="50" t="s">
        <v>139</v>
      </c>
      <c r="E24" s="51"/>
      <c r="F24" s="51"/>
      <c r="G24" s="52"/>
      <c r="H24" s="34"/>
      <c r="I24" s="34"/>
    </row>
    <row r="25" spans="1:9" x14ac:dyDescent="0.25">
      <c r="A25" s="34"/>
      <c r="B25" s="34"/>
      <c r="C25" s="36" t="s">
        <v>65</v>
      </c>
      <c r="D25" s="53" t="s">
        <v>64</v>
      </c>
      <c r="E25" s="54"/>
      <c r="F25" s="54"/>
      <c r="G25" s="55"/>
      <c r="H25" s="34"/>
      <c r="I25" s="34"/>
    </row>
    <row r="26" spans="1:9" x14ac:dyDescent="0.25">
      <c r="A26" s="34"/>
      <c r="B26" s="34"/>
      <c r="C26" s="36" t="s">
        <v>66</v>
      </c>
      <c r="D26" s="53" t="s">
        <v>63</v>
      </c>
      <c r="E26" s="54"/>
      <c r="F26" s="54"/>
      <c r="G26" s="55"/>
      <c r="H26" s="34"/>
      <c r="I26" s="34"/>
    </row>
    <row r="27" spans="1:9" x14ac:dyDescent="0.25">
      <c r="A27" s="34"/>
      <c r="B27" s="34"/>
      <c r="C27" s="34"/>
      <c r="D27" s="34"/>
      <c r="E27" s="34"/>
      <c r="F27" s="34"/>
      <c r="G27" s="34"/>
      <c r="H27" s="34"/>
      <c r="I27" s="34"/>
    </row>
    <row r="28" spans="1:9" x14ac:dyDescent="0.25">
      <c r="A28" s="34"/>
      <c r="B28" s="34"/>
      <c r="C28" s="34"/>
      <c r="D28" s="34"/>
      <c r="E28" s="34"/>
      <c r="F28" s="34"/>
      <c r="G28" s="34"/>
      <c r="H28" s="34"/>
      <c r="I28" s="34"/>
    </row>
    <row r="29" spans="1:9" x14ac:dyDescent="0.25">
      <c r="A29" s="34"/>
      <c r="B29" s="34"/>
      <c r="C29" s="34"/>
      <c r="D29" s="34"/>
      <c r="E29" s="34"/>
      <c r="F29" s="34"/>
      <c r="G29" s="34"/>
      <c r="H29" s="34"/>
      <c r="I29" s="34"/>
    </row>
    <row r="30" spans="1:9" x14ac:dyDescent="0.25">
      <c r="A30" s="34"/>
      <c r="B30" s="34"/>
      <c r="C30" s="34"/>
      <c r="D30" s="34"/>
      <c r="E30" s="34"/>
      <c r="F30" s="34"/>
      <c r="G30" s="34"/>
      <c r="H30" s="34"/>
      <c r="I30" s="34"/>
    </row>
    <row r="31" spans="1:9" x14ac:dyDescent="0.25">
      <c r="A31" s="34"/>
      <c r="B31" s="34"/>
      <c r="C31" s="34"/>
      <c r="D31" s="34"/>
      <c r="E31" s="34"/>
      <c r="F31" s="34"/>
      <c r="G31" s="34"/>
      <c r="H31" s="34"/>
      <c r="I31" s="34"/>
    </row>
    <row r="32" spans="1:9" x14ac:dyDescent="0.25">
      <c r="A32" s="34"/>
      <c r="B32" s="34"/>
      <c r="C32" s="34"/>
      <c r="D32" s="34"/>
      <c r="E32" s="34"/>
      <c r="F32" s="34"/>
      <c r="G32" s="34"/>
      <c r="H32" s="34"/>
      <c r="I32" s="34"/>
    </row>
    <row r="33" spans="1:9" x14ac:dyDescent="0.25">
      <c r="A33" s="34"/>
      <c r="B33" s="34"/>
      <c r="C33" s="34"/>
      <c r="D33" s="34"/>
      <c r="E33" s="34"/>
      <c r="F33" s="34"/>
      <c r="G33" s="34"/>
      <c r="H33" s="34"/>
      <c r="I33" s="34"/>
    </row>
    <row r="34" spans="1:9" x14ac:dyDescent="0.25">
      <c r="A34" s="34"/>
      <c r="B34" s="34"/>
      <c r="C34" s="34"/>
      <c r="D34" s="34"/>
      <c r="E34" s="34"/>
      <c r="F34" s="34"/>
      <c r="G34" s="34"/>
      <c r="H34" s="34"/>
      <c r="I34" s="34"/>
    </row>
  </sheetData>
  <sheetProtection password="DFE9" sheet="1" objects="1" scenarios="1"/>
  <mergeCells count="17">
    <mergeCell ref="D16:G16"/>
    <mergeCell ref="D24:G24"/>
    <mergeCell ref="D25:G25"/>
    <mergeCell ref="D26:G26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19'!A1" display="Samlet økonomisk ramme for 2019"/>
    <hyperlink ref="D17:G17" location="'Fane 3. Korrigeret grundlag'!A1" display="Korrektion af grundlag"/>
    <hyperlink ref="D18:G18" location="'Fane 4. Ikke-påvirkelige omk.'!A1" display="Ikke-påvirkelige omkostninger"/>
    <hyperlink ref="D19:G19" location="'Fane 5. Individuelt eff.krav'!A1" display="Individuelt effektiviseringskrav"/>
    <hyperlink ref="D20:G20" location="'Fane 6. Generelt eff.krav'!A1" display="Generelt effektiviseringskrav"/>
    <hyperlink ref="D21:G21" location="'Fane 7. Hist. over el. underdæk'!A1" display="Historisk over- eller underdækning"/>
    <hyperlink ref="D22:G22" location="'Fane 8. Gen. inv. i 2016'!A1" display="Gennemførte investeringer i 2015"/>
    <hyperlink ref="D23:G23" location="'Fane 9. Korrektion af PL2016'!A1" display="Korrektion af prisloft 2015"/>
    <hyperlink ref="D24:G24" location="'Fane 10. Kontrol af PL2016'!A1" display="Kontrol af prisloft 2015"/>
    <hyperlink ref="D25:G25" location="'Fane 11. Tillæg'!A1" display="Tillæg"/>
    <hyperlink ref="D26:G26" location="'Fane 12. Bortfald'!A1" display="Bortfald af omkostninger"/>
    <hyperlink ref="D13:G13" location="'Fane 2.1. Økonomisk ramme 2018'!A1" display="Samlet økonomisk ramme for 2018"/>
    <hyperlink ref="D15:G15" location="'Fane 2.3. Økonomisk ramme 2020'!A1" display="Samlet økonomisk ramme for 2020"/>
    <hyperlink ref="D16:G16" location="'Fane 2.4. Økonomisk ramme 2021'!A1" display="Samlet økonomisk ramme for 202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5" customWidth="1"/>
    <col min="2" max="3" width="9.140625" style="35"/>
    <col min="4" max="4" width="15.140625" style="35" customWidth="1"/>
    <col min="5" max="5" width="9.140625" style="35"/>
    <col min="6" max="6" width="14.140625" style="35" customWidth="1"/>
    <col min="7" max="7" width="10.28515625" style="35" customWidth="1"/>
    <col min="8" max="8" width="3.140625" style="35" customWidth="1"/>
    <col min="9" max="9" width="7.85546875" style="35" customWidth="1"/>
    <col min="10" max="16384" width="9.140625" style="35"/>
  </cols>
  <sheetData>
    <row r="1" spans="1:9" x14ac:dyDescent="0.25">
      <c r="A1" s="34"/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ht="15" customHeight="1" x14ac:dyDescent="0.25">
      <c r="A3" s="34"/>
      <c r="B3" s="76" t="s">
        <v>72</v>
      </c>
      <c r="C3" s="76"/>
      <c r="D3" s="76"/>
      <c r="E3" s="76"/>
      <c r="F3" s="76"/>
      <c r="G3" s="76"/>
      <c r="H3" s="76"/>
      <c r="I3" s="34"/>
    </row>
    <row r="4" spans="1:9" ht="15" customHeight="1" x14ac:dyDescent="0.25">
      <c r="A4" s="34"/>
      <c r="B4" s="76"/>
      <c r="C4" s="76"/>
      <c r="D4" s="76"/>
      <c r="E4" s="76"/>
      <c r="F4" s="76"/>
      <c r="G4" s="76"/>
      <c r="H4" s="76"/>
      <c r="I4" s="34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x14ac:dyDescent="0.25">
      <c r="A7" s="34"/>
      <c r="B7" s="34"/>
      <c r="C7" s="34"/>
      <c r="D7" s="34"/>
      <c r="E7" s="34"/>
      <c r="F7" s="34"/>
      <c r="G7" s="34"/>
      <c r="H7" s="34"/>
      <c r="I7" s="34"/>
    </row>
    <row r="8" spans="1:9" x14ac:dyDescent="0.25">
      <c r="A8" s="34"/>
      <c r="B8" s="90" t="s">
        <v>54</v>
      </c>
      <c r="C8" s="91"/>
      <c r="D8" s="91"/>
      <c r="E8" s="91"/>
      <c r="F8" s="91"/>
      <c r="G8" s="91"/>
      <c r="H8" s="92"/>
      <c r="I8" s="34"/>
    </row>
    <row r="9" spans="1:9" x14ac:dyDescent="0.25">
      <c r="A9" s="34"/>
      <c r="B9" s="80" t="s">
        <v>42</v>
      </c>
      <c r="C9" s="81"/>
      <c r="D9" s="81"/>
      <c r="E9" s="81"/>
      <c r="F9" s="82"/>
      <c r="G9" s="9">
        <v>2741884</v>
      </c>
      <c r="H9" s="20" t="s">
        <v>4</v>
      </c>
      <c r="I9" s="34"/>
    </row>
    <row r="10" spans="1:9" x14ac:dyDescent="0.25">
      <c r="A10" s="34"/>
      <c r="B10" s="80" t="s">
        <v>119</v>
      </c>
      <c r="C10" s="81"/>
      <c r="D10" s="81"/>
      <c r="E10" s="81"/>
      <c r="F10" s="82"/>
      <c r="G10" s="9">
        <v>2741884</v>
      </c>
      <c r="H10" s="20" t="s">
        <v>4</v>
      </c>
      <c r="I10" s="34"/>
    </row>
    <row r="11" spans="1:9" x14ac:dyDescent="0.25">
      <c r="A11" s="34"/>
      <c r="B11" s="104" t="s">
        <v>45</v>
      </c>
      <c r="C11" s="105"/>
      <c r="D11" s="105"/>
      <c r="E11" s="105"/>
      <c r="F11" s="106"/>
      <c r="G11" s="33">
        <f>G9-G10</f>
        <v>0</v>
      </c>
      <c r="H11" s="26" t="s">
        <v>4</v>
      </c>
      <c r="I11" s="34"/>
    </row>
    <row r="12" spans="1:9" x14ac:dyDescent="0.25">
      <c r="A12" s="34"/>
      <c r="B12" s="80" t="s">
        <v>43</v>
      </c>
      <c r="C12" s="81"/>
      <c r="D12" s="81"/>
      <c r="E12" s="81"/>
      <c r="F12" s="82"/>
      <c r="G12" s="9">
        <v>0</v>
      </c>
      <c r="H12" s="20" t="s">
        <v>123</v>
      </c>
      <c r="I12" s="34"/>
    </row>
    <row r="13" spans="1:9" x14ac:dyDescent="0.25">
      <c r="A13" s="34"/>
      <c r="B13" s="90" t="s">
        <v>41</v>
      </c>
      <c r="C13" s="91"/>
      <c r="D13" s="91"/>
      <c r="E13" s="91"/>
      <c r="F13" s="92"/>
      <c r="G13" s="18">
        <f>IF(G12 = 0,0,G11/G12)</f>
        <v>0</v>
      </c>
      <c r="H13" s="19" t="s">
        <v>4</v>
      </c>
      <c r="I13" s="34"/>
    </row>
    <row r="14" spans="1:9" x14ac:dyDescent="0.25">
      <c r="A14" s="34"/>
      <c r="B14" s="34"/>
      <c r="C14" s="34"/>
      <c r="D14" s="34"/>
      <c r="E14" s="34"/>
      <c r="F14" s="34"/>
      <c r="G14" s="34"/>
      <c r="H14" s="34"/>
      <c r="I14" s="34"/>
    </row>
    <row r="15" spans="1:9" x14ac:dyDescent="0.25">
      <c r="A15" s="34"/>
      <c r="B15" s="34"/>
      <c r="C15" s="34"/>
      <c r="D15" s="34"/>
      <c r="E15" s="34"/>
      <c r="F15" s="34"/>
      <c r="G15" s="34"/>
      <c r="H15" s="34"/>
      <c r="I15" s="34"/>
    </row>
    <row r="16" spans="1:9" x14ac:dyDescent="0.25">
      <c r="A16" s="34"/>
      <c r="B16" s="34"/>
      <c r="C16" s="34"/>
      <c r="D16" s="34"/>
      <c r="E16" s="34"/>
      <c r="F16" s="34"/>
      <c r="G16" s="34"/>
      <c r="H16" s="34"/>
      <c r="I16" s="34"/>
    </row>
    <row r="17" spans="1:9" x14ac:dyDescent="0.25">
      <c r="A17" s="34"/>
      <c r="B17" s="34"/>
      <c r="C17" s="34"/>
      <c r="D17" s="34"/>
      <c r="E17" s="34"/>
      <c r="F17" s="34"/>
      <c r="G17" s="34"/>
      <c r="H17" s="34"/>
      <c r="I17" s="34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5" customWidth="1"/>
    <col min="2" max="2" width="37.85546875" style="35" customWidth="1"/>
    <col min="3" max="3" width="5.42578125" style="35" customWidth="1"/>
    <col min="4" max="4" width="8.28515625" style="35" customWidth="1"/>
    <col min="5" max="6" width="10.7109375" style="35" customWidth="1"/>
    <col min="7" max="7" width="3.28515625" style="35" customWidth="1"/>
    <col min="8" max="8" width="5.140625" style="35" customWidth="1"/>
    <col min="9" max="16384" width="9.140625" style="35"/>
  </cols>
  <sheetData>
    <row r="1" spans="1:8" x14ac:dyDescent="0.25">
      <c r="A1" s="34"/>
      <c r="B1" s="34"/>
      <c r="C1" s="34"/>
      <c r="D1" s="34"/>
      <c r="E1" s="34"/>
      <c r="F1" s="34"/>
      <c r="G1" s="34"/>
      <c r="H1" s="34"/>
    </row>
    <row r="2" spans="1:8" x14ac:dyDescent="0.25">
      <c r="A2" s="34"/>
      <c r="B2" s="34"/>
      <c r="C2" s="34"/>
      <c r="D2" s="34"/>
      <c r="E2" s="34"/>
      <c r="F2" s="34"/>
      <c r="G2" s="34"/>
      <c r="H2" s="34"/>
    </row>
    <row r="3" spans="1:8" ht="15" customHeight="1" x14ac:dyDescent="0.25">
      <c r="A3" s="34"/>
      <c r="B3" s="76" t="s">
        <v>73</v>
      </c>
      <c r="C3" s="76"/>
      <c r="D3" s="76"/>
      <c r="E3" s="76"/>
      <c r="F3" s="76"/>
      <c r="G3" s="76"/>
      <c r="H3" s="34"/>
    </row>
    <row r="4" spans="1:8" ht="15" customHeight="1" x14ac:dyDescent="0.25">
      <c r="A4" s="34"/>
      <c r="B4" s="76"/>
      <c r="C4" s="76"/>
      <c r="D4" s="76"/>
      <c r="E4" s="76"/>
      <c r="F4" s="76"/>
      <c r="G4" s="76"/>
      <c r="H4" s="34"/>
    </row>
    <row r="5" spans="1:8" x14ac:dyDescent="0.25">
      <c r="A5" s="34"/>
      <c r="B5" s="34"/>
      <c r="C5" s="34"/>
      <c r="D5" s="34"/>
      <c r="E5" s="34"/>
      <c r="F5" s="34"/>
      <c r="G5" s="34"/>
      <c r="H5" s="34"/>
    </row>
    <row r="6" spans="1:8" x14ac:dyDescent="0.25">
      <c r="A6" s="34"/>
      <c r="B6" s="34"/>
      <c r="C6" s="34"/>
      <c r="D6" s="34"/>
      <c r="E6" s="34"/>
      <c r="F6" s="34"/>
      <c r="G6" s="34"/>
      <c r="H6" s="34"/>
    </row>
    <row r="7" spans="1:8" x14ac:dyDescent="0.25">
      <c r="A7" s="34"/>
      <c r="B7" s="34"/>
      <c r="C7" s="34"/>
      <c r="D7" s="34"/>
      <c r="E7" s="34"/>
      <c r="F7" s="34"/>
      <c r="G7" s="34"/>
      <c r="H7" s="34"/>
    </row>
    <row r="8" spans="1:8" x14ac:dyDescent="0.25">
      <c r="A8" s="34"/>
      <c r="B8" s="90" t="s">
        <v>74</v>
      </c>
      <c r="C8" s="91"/>
      <c r="D8" s="91"/>
      <c r="E8" s="91"/>
      <c r="F8" s="91"/>
      <c r="G8" s="92"/>
      <c r="H8" s="34"/>
    </row>
    <row r="9" spans="1:8" ht="39" customHeight="1" x14ac:dyDescent="0.25">
      <c r="A9" s="34"/>
      <c r="B9" s="49" t="s">
        <v>0</v>
      </c>
      <c r="C9" s="16" t="s">
        <v>1</v>
      </c>
      <c r="D9" s="49" t="s">
        <v>2</v>
      </c>
      <c r="E9" s="49" t="s">
        <v>44</v>
      </c>
      <c r="F9" s="107" t="s">
        <v>3</v>
      </c>
      <c r="G9" s="107"/>
      <c r="H9" s="34"/>
    </row>
    <row r="10" spans="1:8" x14ac:dyDescent="0.25">
      <c r="A10" s="34"/>
      <c r="B10" s="38" t="s">
        <v>143</v>
      </c>
      <c r="C10" s="27">
        <v>2016</v>
      </c>
      <c r="D10" s="27">
        <v>20</v>
      </c>
      <c r="E10" s="9">
        <v>122788</v>
      </c>
      <c r="F10" s="9">
        <f>E10/D10</f>
        <v>6139.4</v>
      </c>
      <c r="G10" s="20" t="s">
        <v>4</v>
      </c>
      <c r="H10" s="34"/>
    </row>
    <row r="11" spans="1:8" x14ac:dyDescent="0.25">
      <c r="A11" s="34"/>
      <c r="B11" s="38" t="s">
        <v>144</v>
      </c>
      <c r="C11" s="27">
        <v>2016</v>
      </c>
      <c r="D11" s="27">
        <v>10</v>
      </c>
      <c r="E11" s="9">
        <v>31198</v>
      </c>
      <c r="F11" s="9">
        <f t="shared" ref="F11:F65" si="0">E11/D11</f>
        <v>3119.8</v>
      </c>
      <c r="G11" s="20" t="s">
        <v>4</v>
      </c>
      <c r="H11" s="34"/>
    </row>
    <row r="12" spans="1:8" x14ac:dyDescent="0.25">
      <c r="A12" s="34"/>
      <c r="B12" s="38" t="s">
        <v>145</v>
      </c>
      <c r="C12" s="27">
        <v>2016</v>
      </c>
      <c r="D12" s="27">
        <v>20</v>
      </c>
      <c r="E12" s="9">
        <v>122788</v>
      </c>
      <c r="F12" s="9">
        <f t="shared" si="0"/>
        <v>6139.4</v>
      </c>
      <c r="G12" s="20" t="s">
        <v>4</v>
      </c>
      <c r="H12" s="34"/>
    </row>
    <row r="13" spans="1:8" x14ac:dyDescent="0.25">
      <c r="A13" s="34"/>
      <c r="B13" s="38" t="s">
        <v>146</v>
      </c>
      <c r="C13" s="27">
        <v>2016</v>
      </c>
      <c r="D13" s="27">
        <v>10</v>
      </c>
      <c r="E13" s="9">
        <v>31199</v>
      </c>
      <c r="F13" s="9">
        <f t="shared" si="0"/>
        <v>3119.9</v>
      </c>
      <c r="G13" s="20" t="s">
        <v>4</v>
      </c>
      <c r="H13" s="34"/>
    </row>
    <row r="14" spans="1:8" x14ac:dyDescent="0.25">
      <c r="A14" s="34"/>
      <c r="B14" s="38" t="s">
        <v>147</v>
      </c>
      <c r="C14" s="27">
        <v>2016</v>
      </c>
      <c r="D14" s="27">
        <v>20</v>
      </c>
      <c r="E14" s="9">
        <v>429029</v>
      </c>
      <c r="F14" s="9">
        <f t="shared" si="0"/>
        <v>21451.45</v>
      </c>
      <c r="G14" s="20" t="s">
        <v>4</v>
      </c>
      <c r="H14" s="34"/>
    </row>
    <row r="15" spans="1:8" x14ac:dyDescent="0.25">
      <c r="A15" s="34"/>
      <c r="B15" s="38" t="s">
        <v>148</v>
      </c>
      <c r="C15" s="27">
        <v>2016</v>
      </c>
      <c r="D15" s="27">
        <v>10</v>
      </c>
      <c r="E15" s="9">
        <v>66198</v>
      </c>
      <c r="F15" s="9">
        <f t="shared" si="0"/>
        <v>6619.8</v>
      </c>
      <c r="G15" s="20" t="s">
        <v>4</v>
      </c>
      <c r="H15" s="34"/>
    </row>
    <row r="16" spans="1:8" x14ac:dyDescent="0.25">
      <c r="A16" s="34"/>
      <c r="B16" s="38" t="s">
        <v>149</v>
      </c>
      <c r="C16" s="27">
        <v>2016</v>
      </c>
      <c r="D16" s="27">
        <v>20</v>
      </c>
      <c r="E16" s="9">
        <v>122788</v>
      </c>
      <c r="F16" s="9">
        <f t="shared" si="0"/>
        <v>6139.4</v>
      </c>
      <c r="G16" s="20" t="s">
        <v>4</v>
      </c>
      <c r="H16" s="34"/>
    </row>
    <row r="17" spans="1:8" x14ac:dyDescent="0.25">
      <c r="A17" s="34"/>
      <c r="B17" s="38" t="s">
        <v>150</v>
      </c>
      <c r="C17" s="27">
        <v>2016</v>
      </c>
      <c r="D17" s="27">
        <v>10</v>
      </c>
      <c r="E17" s="9">
        <v>31198</v>
      </c>
      <c r="F17" s="9">
        <f t="shared" si="0"/>
        <v>3119.8</v>
      </c>
      <c r="G17" s="20" t="s">
        <v>4</v>
      </c>
      <c r="H17" s="34"/>
    </row>
    <row r="18" spans="1:8" x14ac:dyDescent="0.25">
      <c r="A18" s="34"/>
      <c r="B18" s="38" t="s">
        <v>151</v>
      </c>
      <c r="C18" s="27">
        <v>2016</v>
      </c>
      <c r="D18" s="27">
        <v>20</v>
      </c>
      <c r="E18" s="9">
        <v>3441590</v>
      </c>
      <c r="F18" s="9">
        <f t="shared" si="0"/>
        <v>172079.5</v>
      </c>
      <c r="G18" s="20" t="s">
        <v>4</v>
      </c>
      <c r="H18" s="34"/>
    </row>
    <row r="19" spans="1:8" x14ac:dyDescent="0.25">
      <c r="A19" s="34"/>
      <c r="B19" s="38" t="s">
        <v>152</v>
      </c>
      <c r="C19" s="27">
        <v>2016</v>
      </c>
      <c r="D19" s="27">
        <v>10</v>
      </c>
      <c r="E19" s="9">
        <v>390000</v>
      </c>
      <c r="F19" s="9">
        <f t="shared" si="0"/>
        <v>39000</v>
      </c>
      <c r="G19" s="20" t="s">
        <v>4</v>
      </c>
      <c r="H19" s="34"/>
    </row>
    <row r="20" spans="1:8" ht="26.25" x14ac:dyDescent="0.25">
      <c r="A20" s="34"/>
      <c r="B20" s="38" t="s">
        <v>153</v>
      </c>
      <c r="C20" s="27">
        <v>2016</v>
      </c>
      <c r="D20" s="27">
        <v>20</v>
      </c>
      <c r="E20" s="9">
        <v>613831</v>
      </c>
      <c r="F20" s="9">
        <f t="shared" si="0"/>
        <v>30691.55</v>
      </c>
      <c r="G20" s="20" t="s">
        <v>4</v>
      </c>
      <c r="H20" s="34"/>
    </row>
    <row r="21" spans="1:8" ht="26.25" x14ac:dyDescent="0.25">
      <c r="A21" s="34"/>
      <c r="B21" s="38" t="s">
        <v>154</v>
      </c>
      <c r="C21" s="27">
        <v>2016</v>
      </c>
      <c r="D21" s="27">
        <v>10</v>
      </c>
      <c r="E21" s="9">
        <v>155963</v>
      </c>
      <c r="F21" s="9">
        <f t="shared" si="0"/>
        <v>15596.3</v>
      </c>
      <c r="G21" s="20" t="s">
        <v>4</v>
      </c>
      <c r="H21" s="34"/>
    </row>
    <row r="22" spans="1:8" x14ac:dyDescent="0.25">
      <c r="A22" s="34"/>
      <c r="B22" s="38" t="s">
        <v>155</v>
      </c>
      <c r="C22" s="27">
        <v>2016</v>
      </c>
      <c r="D22" s="27">
        <v>20</v>
      </c>
      <c r="E22" s="9">
        <v>287411</v>
      </c>
      <c r="F22" s="9">
        <f t="shared" si="0"/>
        <v>14370.55</v>
      </c>
      <c r="G22" s="20" t="s">
        <v>4</v>
      </c>
      <c r="H22" s="34"/>
    </row>
    <row r="23" spans="1:8" x14ac:dyDescent="0.25">
      <c r="A23" s="34"/>
      <c r="B23" s="38" t="s">
        <v>156</v>
      </c>
      <c r="C23" s="27">
        <v>2016</v>
      </c>
      <c r="D23" s="27">
        <v>10</v>
      </c>
      <c r="E23" s="9">
        <v>32000</v>
      </c>
      <c r="F23" s="9">
        <f t="shared" si="0"/>
        <v>3200</v>
      </c>
      <c r="G23" s="20" t="s">
        <v>4</v>
      </c>
      <c r="H23" s="34"/>
    </row>
    <row r="24" spans="1:8" x14ac:dyDescent="0.25">
      <c r="A24" s="34"/>
      <c r="B24" s="38" t="s">
        <v>157</v>
      </c>
      <c r="C24" s="27">
        <v>2016</v>
      </c>
      <c r="D24" s="27">
        <v>75</v>
      </c>
      <c r="E24" s="9">
        <v>147593</v>
      </c>
      <c r="F24" s="9">
        <f t="shared" si="0"/>
        <v>1967.9066666666668</v>
      </c>
      <c r="G24" s="20" t="s">
        <v>4</v>
      </c>
      <c r="H24" s="34"/>
    </row>
    <row r="25" spans="1:8" x14ac:dyDescent="0.25">
      <c r="A25" s="34"/>
      <c r="B25" s="38" t="s">
        <v>158</v>
      </c>
      <c r="C25" s="27">
        <v>2016</v>
      </c>
      <c r="D25" s="27">
        <v>75</v>
      </c>
      <c r="E25" s="9">
        <v>70314</v>
      </c>
      <c r="F25" s="9">
        <f t="shared" si="0"/>
        <v>937.52</v>
      </c>
      <c r="G25" s="20" t="s">
        <v>4</v>
      </c>
      <c r="H25" s="34"/>
    </row>
    <row r="26" spans="1:8" x14ac:dyDescent="0.25">
      <c r="A26" s="34"/>
      <c r="B26" s="38" t="s">
        <v>159</v>
      </c>
      <c r="C26" s="27">
        <v>2016</v>
      </c>
      <c r="D26" s="27">
        <v>75</v>
      </c>
      <c r="E26" s="9">
        <v>6141</v>
      </c>
      <c r="F26" s="9">
        <f t="shared" si="0"/>
        <v>81.88</v>
      </c>
      <c r="G26" s="20" t="s">
        <v>4</v>
      </c>
      <c r="H26" s="34"/>
    </row>
    <row r="27" spans="1:8" x14ac:dyDescent="0.25">
      <c r="A27" s="34"/>
      <c r="B27" s="38" t="s">
        <v>160</v>
      </c>
      <c r="C27" s="27">
        <v>2016</v>
      </c>
      <c r="D27" s="27">
        <v>75</v>
      </c>
      <c r="E27" s="9">
        <v>6141</v>
      </c>
      <c r="F27" s="9">
        <f t="shared" si="0"/>
        <v>81.88</v>
      </c>
      <c r="G27" s="20" t="s">
        <v>4</v>
      </c>
      <c r="H27" s="34"/>
    </row>
    <row r="28" spans="1:8" x14ac:dyDescent="0.25">
      <c r="A28" s="34"/>
      <c r="B28" s="38" t="s">
        <v>157</v>
      </c>
      <c r="C28" s="27">
        <v>2016</v>
      </c>
      <c r="D28" s="27">
        <v>75</v>
      </c>
      <c r="E28" s="9">
        <v>84519</v>
      </c>
      <c r="F28" s="9">
        <f t="shared" si="0"/>
        <v>1126.92</v>
      </c>
      <c r="G28" s="20" t="s">
        <v>4</v>
      </c>
      <c r="H28" s="34"/>
    </row>
    <row r="29" spans="1:8" x14ac:dyDescent="0.25">
      <c r="A29" s="34"/>
      <c r="B29" s="38" t="s">
        <v>158</v>
      </c>
      <c r="C29" s="27">
        <v>2016</v>
      </c>
      <c r="D29" s="27">
        <v>75</v>
      </c>
      <c r="E29" s="9">
        <v>4636969</v>
      </c>
      <c r="F29" s="9">
        <f t="shared" si="0"/>
        <v>61826.253333333334</v>
      </c>
      <c r="G29" s="20" t="s">
        <v>4</v>
      </c>
      <c r="H29" s="34"/>
    </row>
    <row r="30" spans="1:8" x14ac:dyDescent="0.25">
      <c r="A30" s="34"/>
      <c r="B30" s="38" t="s">
        <v>159</v>
      </c>
      <c r="C30" s="27">
        <v>2016</v>
      </c>
      <c r="D30" s="27">
        <v>75</v>
      </c>
      <c r="E30" s="9">
        <v>215903</v>
      </c>
      <c r="F30" s="9">
        <f t="shared" si="0"/>
        <v>2878.7066666666665</v>
      </c>
      <c r="G30" s="20" t="s">
        <v>4</v>
      </c>
      <c r="H30" s="34"/>
    </row>
    <row r="31" spans="1:8" x14ac:dyDescent="0.25">
      <c r="A31" s="34"/>
      <c r="B31" s="38" t="s">
        <v>161</v>
      </c>
      <c r="C31" s="27">
        <v>2016</v>
      </c>
      <c r="D31" s="27">
        <v>75</v>
      </c>
      <c r="E31" s="9">
        <v>1890501</v>
      </c>
      <c r="F31" s="9">
        <f t="shared" si="0"/>
        <v>25206.68</v>
      </c>
      <c r="G31" s="20" t="s">
        <v>4</v>
      </c>
      <c r="H31" s="34"/>
    </row>
    <row r="32" spans="1:8" x14ac:dyDescent="0.25">
      <c r="A32" s="34"/>
      <c r="B32" s="38" t="s">
        <v>162</v>
      </c>
      <c r="C32" s="27">
        <v>2016</v>
      </c>
      <c r="D32" s="27">
        <v>50</v>
      </c>
      <c r="E32" s="9">
        <v>2932780</v>
      </c>
      <c r="F32" s="9">
        <f t="shared" si="0"/>
        <v>58655.6</v>
      </c>
      <c r="G32" s="20" t="s">
        <v>4</v>
      </c>
      <c r="H32" s="34"/>
    </row>
    <row r="33" spans="1:8" ht="26.25" x14ac:dyDescent="0.25">
      <c r="A33" s="34"/>
      <c r="B33" s="38" t="s">
        <v>163</v>
      </c>
      <c r="C33" s="27">
        <v>2016</v>
      </c>
      <c r="D33" s="27">
        <v>50</v>
      </c>
      <c r="E33" s="9">
        <v>5355244</v>
      </c>
      <c r="F33" s="9">
        <f t="shared" si="0"/>
        <v>107104.88</v>
      </c>
      <c r="G33" s="20" t="s">
        <v>4</v>
      </c>
      <c r="H33" s="34"/>
    </row>
    <row r="34" spans="1:8" ht="26.25" x14ac:dyDescent="0.25">
      <c r="A34" s="34"/>
      <c r="B34" s="38" t="s">
        <v>164</v>
      </c>
      <c r="C34" s="27">
        <v>2016</v>
      </c>
      <c r="D34" s="27">
        <v>50</v>
      </c>
      <c r="E34" s="9">
        <v>1562869</v>
      </c>
      <c r="F34" s="9">
        <f t="shared" si="0"/>
        <v>31257.38</v>
      </c>
      <c r="G34" s="20" t="s">
        <v>4</v>
      </c>
      <c r="H34" s="34"/>
    </row>
    <row r="35" spans="1:8" ht="26.25" x14ac:dyDescent="0.25">
      <c r="A35" s="34"/>
      <c r="B35" s="38" t="s">
        <v>165</v>
      </c>
      <c r="C35" s="27">
        <v>2016</v>
      </c>
      <c r="D35" s="27">
        <v>50</v>
      </c>
      <c r="E35" s="9">
        <v>3005509</v>
      </c>
      <c r="F35" s="9">
        <f t="shared" si="0"/>
        <v>60110.18</v>
      </c>
      <c r="G35" s="20" t="s">
        <v>4</v>
      </c>
      <c r="H35" s="34"/>
    </row>
    <row r="36" spans="1:8" x14ac:dyDescent="0.25">
      <c r="A36" s="34"/>
      <c r="B36" s="38" t="s">
        <v>157</v>
      </c>
      <c r="C36" s="27">
        <v>2016</v>
      </c>
      <c r="D36" s="27">
        <v>75</v>
      </c>
      <c r="E36" s="9">
        <v>231686</v>
      </c>
      <c r="F36" s="9">
        <f t="shared" si="0"/>
        <v>3089.1466666666665</v>
      </c>
      <c r="G36" s="20" t="s">
        <v>4</v>
      </c>
      <c r="H36" s="34"/>
    </row>
    <row r="37" spans="1:8" x14ac:dyDescent="0.25">
      <c r="A37" s="34"/>
      <c r="B37" s="38" t="s">
        <v>158</v>
      </c>
      <c r="C37" s="27">
        <v>2016</v>
      </c>
      <c r="D37" s="27">
        <v>75</v>
      </c>
      <c r="E37" s="9">
        <v>32000</v>
      </c>
      <c r="F37" s="9">
        <f t="shared" si="0"/>
        <v>426.66666666666669</v>
      </c>
      <c r="G37" s="20" t="s">
        <v>4</v>
      </c>
      <c r="H37" s="34"/>
    </row>
    <row r="38" spans="1:8" x14ac:dyDescent="0.25">
      <c r="A38" s="34"/>
      <c r="B38" s="38" t="s">
        <v>162</v>
      </c>
      <c r="C38" s="27">
        <v>2016</v>
      </c>
      <c r="D38" s="27">
        <v>50</v>
      </c>
      <c r="E38" s="9">
        <v>388542</v>
      </c>
      <c r="F38" s="9">
        <f t="shared" si="0"/>
        <v>7770.84</v>
      </c>
      <c r="G38" s="20" t="s">
        <v>4</v>
      </c>
      <c r="H38" s="34"/>
    </row>
    <row r="39" spans="1:8" ht="26.25" x14ac:dyDescent="0.25">
      <c r="A39" s="34"/>
      <c r="B39" s="38" t="s">
        <v>163</v>
      </c>
      <c r="C39" s="27">
        <v>2016</v>
      </c>
      <c r="D39" s="27">
        <v>50</v>
      </c>
      <c r="E39" s="9">
        <v>1390193</v>
      </c>
      <c r="F39" s="9">
        <f t="shared" si="0"/>
        <v>27803.86</v>
      </c>
      <c r="G39" s="20" t="s">
        <v>4</v>
      </c>
      <c r="H39" s="34"/>
    </row>
    <row r="40" spans="1:8" x14ac:dyDescent="0.25">
      <c r="A40" s="34"/>
      <c r="B40" s="38" t="s">
        <v>166</v>
      </c>
      <c r="C40" s="27">
        <v>2016</v>
      </c>
      <c r="D40" s="27">
        <v>75</v>
      </c>
      <c r="E40" s="9">
        <v>4412</v>
      </c>
      <c r="F40" s="9">
        <f t="shared" si="0"/>
        <v>58.826666666666668</v>
      </c>
      <c r="G40" s="20" t="s">
        <v>4</v>
      </c>
      <c r="H40" s="34"/>
    </row>
    <row r="41" spans="1:8" x14ac:dyDescent="0.25">
      <c r="A41" s="34"/>
      <c r="B41" s="38" t="s">
        <v>166</v>
      </c>
      <c r="C41" s="27">
        <v>2016</v>
      </c>
      <c r="D41" s="27">
        <v>75</v>
      </c>
      <c r="E41" s="9">
        <v>318828</v>
      </c>
      <c r="F41" s="9">
        <f t="shared" si="0"/>
        <v>4251.04</v>
      </c>
      <c r="G41" s="20" t="s">
        <v>4</v>
      </c>
      <c r="H41" s="34"/>
    </row>
    <row r="42" spans="1:8" x14ac:dyDescent="0.25">
      <c r="A42" s="34"/>
      <c r="B42" s="38" t="s">
        <v>167</v>
      </c>
      <c r="C42" s="27">
        <v>2016</v>
      </c>
      <c r="D42" s="27">
        <v>75</v>
      </c>
      <c r="E42" s="9">
        <v>148497</v>
      </c>
      <c r="F42" s="9">
        <f t="shared" si="0"/>
        <v>1979.96</v>
      </c>
      <c r="G42" s="20" t="s">
        <v>4</v>
      </c>
      <c r="H42" s="34"/>
    </row>
    <row r="43" spans="1:8" x14ac:dyDescent="0.25">
      <c r="A43" s="34"/>
      <c r="B43" s="38" t="s">
        <v>166</v>
      </c>
      <c r="C43" s="27">
        <v>2016</v>
      </c>
      <c r="D43" s="27">
        <v>75</v>
      </c>
      <c r="E43" s="9">
        <v>59284</v>
      </c>
      <c r="F43" s="9">
        <f t="shared" si="0"/>
        <v>790.45333333333338</v>
      </c>
      <c r="G43" s="20" t="s">
        <v>4</v>
      </c>
      <c r="H43" s="34"/>
    </row>
    <row r="44" spans="1:8" ht="26.25" x14ac:dyDescent="0.25">
      <c r="A44" s="34"/>
      <c r="B44" s="38" t="s">
        <v>168</v>
      </c>
      <c r="C44" s="27">
        <v>2016</v>
      </c>
      <c r="D44" s="27">
        <v>50</v>
      </c>
      <c r="E44" s="9">
        <v>101716</v>
      </c>
      <c r="F44" s="9">
        <f t="shared" si="0"/>
        <v>2034.32</v>
      </c>
      <c r="G44" s="20" t="s">
        <v>4</v>
      </c>
      <c r="H44" s="34"/>
    </row>
    <row r="45" spans="1:8" x14ac:dyDescent="0.25">
      <c r="A45" s="34"/>
      <c r="B45" s="38" t="s">
        <v>169</v>
      </c>
      <c r="C45" s="27">
        <v>2016</v>
      </c>
      <c r="D45" s="27">
        <v>20</v>
      </c>
      <c r="E45" s="9">
        <v>253015</v>
      </c>
      <c r="F45" s="9">
        <f t="shared" si="0"/>
        <v>12650.75</v>
      </c>
      <c r="G45" s="20" t="s">
        <v>4</v>
      </c>
      <c r="H45" s="34"/>
    </row>
    <row r="46" spans="1:8" x14ac:dyDescent="0.25">
      <c r="A46" s="34"/>
      <c r="B46" s="38" t="s">
        <v>170</v>
      </c>
      <c r="C46" s="27">
        <v>2016</v>
      </c>
      <c r="D46" s="27">
        <v>10</v>
      </c>
      <c r="E46" s="9">
        <v>164735</v>
      </c>
      <c r="F46" s="9">
        <f t="shared" si="0"/>
        <v>16473.5</v>
      </c>
      <c r="G46" s="20" t="s">
        <v>4</v>
      </c>
      <c r="H46" s="34"/>
    </row>
    <row r="47" spans="1:8" ht="26.25" x14ac:dyDescent="0.25">
      <c r="A47" s="34"/>
      <c r="B47" s="38" t="s">
        <v>168</v>
      </c>
      <c r="C47" s="27">
        <v>2016</v>
      </c>
      <c r="D47" s="27">
        <v>50</v>
      </c>
      <c r="E47" s="9">
        <v>359970</v>
      </c>
      <c r="F47" s="9">
        <f t="shared" si="0"/>
        <v>7199.4</v>
      </c>
      <c r="G47" s="20" t="s">
        <v>4</v>
      </c>
      <c r="H47" s="34"/>
    </row>
    <row r="48" spans="1:8" x14ac:dyDescent="0.25">
      <c r="A48" s="34"/>
      <c r="B48" s="38" t="s">
        <v>169</v>
      </c>
      <c r="C48" s="27">
        <v>2016</v>
      </c>
      <c r="D48" s="27">
        <v>20</v>
      </c>
      <c r="E48" s="9">
        <v>1103066</v>
      </c>
      <c r="F48" s="9">
        <f t="shared" si="0"/>
        <v>55153.3</v>
      </c>
      <c r="G48" s="20" t="s">
        <v>4</v>
      </c>
      <c r="H48" s="34"/>
    </row>
    <row r="49" spans="1:8" x14ac:dyDescent="0.25">
      <c r="A49" s="34"/>
      <c r="B49" s="38" t="s">
        <v>170</v>
      </c>
      <c r="C49" s="27">
        <v>2016</v>
      </c>
      <c r="D49" s="27">
        <v>10</v>
      </c>
      <c r="E49" s="9">
        <v>270651</v>
      </c>
      <c r="F49" s="9">
        <f t="shared" si="0"/>
        <v>27065.1</v>
      </c>
      <c r="G49" s="20" t="s">
        <v>4</v>
      </c>
      <c r="H49" s="34"/>
    </row>
    <row r="50" spans="1:8" x14ac:dyDescent="0.25">
      <c r="A50" s="34"/>
      <c r="B50" s="38" t="s">
        <v>171</v>
      </c>
      <c r="C50" s="27">
        <v>2016</v>
      </c>
      <c r="D50" s="27">
        <v>75</v>
      </c>
      <c r="E50" s="9">
        <v>118546</v>
      </c>
      <c r="F50" s="9">
        <f t="shared" si="0"/>
        <v>1580.6133333333332</v>
      </c>
      <c r="G50" s="20" t="s">
        <v>4</v>
      </c>
      <c r="H50" s="34"/>
    </row>
    <row r="51" spans="1:8" ht="26.25" x14ac:dyDescent="0.25">
      <c r="A51" s="34"/>
      <c r="B51" s="38" t="s">
        <v>172</v>
      </c>
      <c r="C51" s="27">
        <v>2016</v>
      </c>
      <c r="D51" s="27">
        <v>20</v>
      </c>
      <c r="E51" s="9">
        <v>246537</v>
      </c>
      <c r="F51" s="9">
        <f t="shared" si="0"/>
        <v>12326.85</v>
      </c>
      <c r="G51" s="20" t="s">
        <v>4</v>
      </c>
      <c r="H51" s="34"/>
    </row>
    <row r="52" spans="1:8" ht="26.25" x14ac:dyDescent="0.25">
      <c r="A52" s="34"/>
      <c r="B52" s="38" t="s">
        <v>173</v>
      </c>
      <c r="C52" s="27">
        <v>2016</v>
      </c>
      <c r="D52" s="27">
        <v>10</v>
      </c>
      <c r="E52" s="9">
        <v>331292</v>
      </c>
      <c r="F52" s="9">
        <f t="shared" si="0"/>
        <v>33129.199999999997</v>
      </c>
      <c r="G52" s="20" t="s">
        <v>4</v>
      </c>
      <c r="H52" s="34"/>
    </row>
    <row r="53" spans="1:8" ht="26.25" x14ac:dyDescent="0.25">
      <c r="A53" s="34"/>
      <c r="B53" s="38" t="s">
        <v>172</v>
      </c>
      <c r="C53" s="27">
        <v>2016</v>
      </c>
      <c r="D53" s="27">
        <v>20</v>
      </c>
      <c r="E53" s="9">
        <v>562867</v>
      </c>
      <c r="F53" s="9">
        <f t="shared" si="0"/>
        <v>28143.35</v>
      </c>
      <c r="G53" s="20" t="s">
        <v>4</v>
      </c>
      <c r="H53" s="34"/>
    </row>
    <row r="54" spans="1:8" ht="26.25" x14ac:dyDescent="0.25">
      <c r="A54" s="34"/>
      <c r="B54" s="38" t="s">
        <v>174</v>
      </c>
      <c r="C54" s="27">
        <v>2016</v>
      </c>
      <c r="D54" s="27">
        <v>20</v>
      </c>
      <c r="E54" s="9">
        <v>171998</v>
      </c>
      <c r="F54" s="9">
        <f t="shared" si="0"/>
        <v>8599.9</v>
      </c>
      <c r="G54" s="20" t="s">
        <v>4</v>
      </c>
      <c r="H54" s="34"/>
    </row>
    <row r="55" spans="1:8" ht="26.25" x14ac:dyDescent="0.25">
      <c r="A55" s="34"/>
      <c r="B55" s="38" t="s">
        <v>175</v>
      </c>
      <c r="C55" s="27">
        <v>2016</v>
      </c>
      <c r="D55" s="27">
        <v>10</v>
      </c>
      <c r="E55" s="9">
        <v>73714</v>
      </c>
      <c r="F55" s="9">
        <f t="shared" si="0"/>
        <v>7371.4</v>
      </c>
      <c r="G55" s="20" t="s">
        <v>4</v>
      </c>
      <c r="H55" s="34"/>
    </row>
    <row r="56" spans="1:8" x14ac:dyDescent="0.25">
      <c r="A56" s="34"/>
      <c r="B56" s="38" t="s">
        <v>176</v>
      </c>
      <c r="C56" s="27">
        <v>2016</v>
      </c>
      <c r="D56" s="27">
        <v>75</v>
      </c>
      <c r="E56" s="9">
        <v>562867</v>
      </c>
      <c r="F56" s="9">
        <f t="shared" si="0"/>
        <v>7504.8933333333334</v>
      </c>
      <c r="G56" s="20" t="s">
        <v>4</v>
      </c>
      <c r="H56" s="34"/>
    </row>
    <row r="57" spans="1:8" ht="26.25" x14ac:dyDescent="0.25">
      <c r="A57" s="34"/>
      <c r="B57" s="38" t="s">
        <v>174</v>
      </c>
      <c r="C57" s="27">
        <v>2016</v>
      </c>
      <c r="D57" s="27">
        <v>20</v>
      </c>
      <c r="E57" s="9">
        <v>687994</v>
      </c>
      <c r="F57" s="9">
        <f t="shared" si="0"/>
        <v>34399.699999999997</v>
      </c>
      <c r="G57" s="20" t="s">
        <v>4</v>
      </c>
      <c r="H57" s="34"/>
    </row>
    <row r="58" spans="1:8" ht="26.25" x14ac:dyDescent="0.25">
      <c r="A58" s="34"/>
      <c r="B58" s="38" t="s">
        <v>175</v>
      </c>
      <c r="C58" s="27">
        <v>2016</v>
      </c>
      <c r="D58" s="27">
        <v>10</v>
      </c>
      <c r="E58" s="9">
        <v>294854</v>
      </c>
      <c r="F58" s="9">
        <f t="shared" si="0"/>
        <v>29485.4</v>
      </c>
      <c r="G58" s="20" t="s">
        <v>4</v>
      </c>
      <c r="H58" s="34"/>
    </row>
    <row r="59" spans="1:8" x14ac:dyDescent="0.25">
      <c r="A59" s="34"/>
      <c r="B59" s="38" t="s">
        <v>177</v>
      </c>
      <c r="C59" s="27">
        <v>2016</v>
      </c>
      <c r="D59" s="27">
        <v>50</v>
      </c>
      <c r="E59" s="9">
        <v>8303066</v>
      </c>
      <c r="F59" s="9">
        <f t="shared" si="0"/>
        <v>166061.32</v>
      </c>
      <c r="G59" s="20" t="s">
        <v>4</v>
      </c>
      <c r="H59" s="34"/>
    </row>
    <row r="60" spans="1:8" x14ac:dyDescent="0.25">
      <c r="A60" s="34"/>
      <c r="B60" s="38" t="s">
        <v>178</v>
      </c>
      <c r="C60" s="27">
        <v>2016</v>
      </c>
      <c r="D60" s="27">
        <v>75</v>
      </c>
      <c r="E60" s="9">
        <v>52942</v>
      </c>
      <c r="F60" s="9">
        <f t="shared" si="0"/>
        <v>705.89333333333332</v>
      </c>
      <c r="G60" s="20" t="s">
        <v>4</v>
      </c>
      <c r="H60" s="34"/>
    </row>
    <row r="61" spans="1:8" ht="26.25" x14ac:dyDescent="0.25">
      <c r="A61" s="34"/>
      <c r="B61" s="38" t="s">
        <v>179</v>
      </c>
      <c r="C61" s="27">
        <v>2016</v>
      </c>
      <c r="D61" s="27">
        <v>75</v>
      </c>
      <c r="E61" s="9">
        <v>26471</v>
      </c>
      <c r="F61" s="9">
        <f t="shared" si="0"/>
        <v>352.94666666666666</v>
      </c>
      <c r="G61" s="20" t="s">
        <v>4</v>
      </c>
      <c r="H61" s="34"/>
    </row>
    <row r="62" spans="1:8" x14ac:dyDescent="0.25">
      <c r="A62" s="34"/>
      <c r="B62" s="38" t="s">
        <v>166</v>
      </c>
      <c r="C62" s="27">
        <v>2016</v>
      </c>
      <c r="D62" s="27">
        <v>40</v>
      </c>
      <c r="E62" s="9">
        <v>966021</v>
      </c>
      <c r="F62" s="9">
        <f t="shared" si="0"/>
        <v>24150.525000000001</v>
      </c>
      <c r="G62" s="20" t="s">
        <v>4</v>
      </c>
      <c r="H62" s="34"/>
    </row>
    <row r="63" spans="1:8" x14ac:dyDescent="0.25">
      <c r="A63" s="34"/>
      <c r="B63" s="38" t="s">
        <v>167</v>
      </c>
      <c r="C63" s="27">
        <v>2016</v>
      </c>
      <c r="D63" s="27">
        <v>50</v>
      </c>
      <c r="E63" s="9">
        <v>2713316</v>
      </c>
      <c r="F63" s="9">
        <f t="shared" si="0"/>
        <v>54266.32</v>
      </c>
      <c r="G63" s="20" t="s">
        <v>4</v>
      </c>
      <c r="H63" s="34"/>
    </row>
    <row r="64" spans="1:8" x14ac:dyDescent="0.25">
      <c r="A64" s="34"/>
      <c r="B64" s="38" t="s">
        <v>166</v>
      </c>
      <c r="C64" s="27">
        <v>2016</v>
      </c>
      <c r="D64" s="27">
        <v>40</v>
      </c>
      <c r="E64" s="9">
        <v>239863</v>
      </c>
      <c r="F64" s="9">
        <f t="shared" si="0"/>
        <v>5996.5749999999998</v>
      </c>
      <c r="G64" s="20" t="s">
        <v>4</v>
      </c>
      <c r="H64" s="34"/>
    </row>
    <row r="65" spans="1:8" x14ac:dyDescent="0.25">
      <c r="A65" s="34"/>
      <c r="B65" s="38" t="s">
        <v>167</v>
      </c>
      <c r="C65" s="27">
        <v>2016</v>
      </c>
      <c r="D65" s="27">
        <v>50</v>
      </c>
      <c r="E65" s="9">
        <v>184000</v>
      </c>
      <c r="F65" s="9">
        <f t="shared" si="0"/>
        <v>3680</v>
      </c>
      <c r="G65" s="20" t="s">
        <v>4</v>
      </c>
      <c r="H65" s="34"/>
    </row>
    <row r="66" spans="1:8" x14ac:dyDescent="0.25">
      <c r="A66" s="34"/>
      <c r="B66" s="90" t="s">
        <v>75</v>
      </c>
      <c r="C66" s="91"/>
      <c r="D66" s="91"/>
      <c r="E66" s="92"/>
      <c r="F66" s="18">
        <f>SUM(F10:F65)</f>
        <v>1266524.6866666665</v>
      </c>
      <c r="G66" s="19" t="s">
        <v>4</v>
      </c>
      <c r="H66" s="34"/>
    </row>
    <row r="67" spans="1:8" x14ac:dyDescent="0.25">
      <c r="A67" s="34"/>
      <c r="B67" s="34"/>
      <c r="C67" s="34"/>
      <c r="D67" s="34"/>
      <c r="E67" s="34"/>
      <c r="F67" s="34"/>
      <c r="G67" s="34"/>
      <c r="H67" s="34"/>
    </row>
    <row r="68" spans="1:8" x14ac:dyDescent="0.25">
      <c r="A68" s="34"/>
      <c r="B68" s="34"/>
      <c r="C68" s="34"/>
      <c r="D68" s="34"/>
      <c r="E68" s="34"/>
      <c r="F68" s="34"/>
      <c r="G68" s="34"/>
      <c r="H68" s="34"/>
    </row>
    <row r="69" spans="1:8" x14ac:dyDescent="0.25">
      <c r="A69" s="34"/>
      <c r="B69" s="34"/>
      <c r="C69" s="34"/>
      <c r="D69" s="34"/>
      <c r="E69" s="34"/>
      <c r="F69" s="34"/>
      <c r="G69" s="34"/>
      <c r="H69" s="34"/>
    </row>
    <row r="70" spans="1:8" x14ac:dyDescent="0.25">
      <c r="A70" s="34"/>
      <c r="B70" s="34"/>
      <c r="C70" s="34"/>
      <c r="D70" s="34"/>
      <c r="E70" s="34"/>
      <c r="F70" s="34"/>
      <c r="G70" s="34"/>
      <c r="H70" s="34"/>
    </row>
  </sheetData>
  <sheetProtection password="DFE9" sheet="1" objects="1" scenarios="1"/>
  <mergeCells count="4">
    <mergeCell ref="B66:E6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5" customWidth="1"/>
    <col min="2" max="4" width="9.140625" style="35"/>
    <col min="5" max="5" width="14.42578125" style="35" customWidth="1"/>
    <col min="6" max="6" width="14.85546875" style="35" customWidth="1"/>
    <col min="7" max="7" width="10.28515625" style="35" customWidth="1"/>
    <col min="8" max="8" width="3.28515625" style="35" customWidth="1"/>
    <col min="9" max="9" width="7.85546875" style="35" customWidth="1"/>
    <col min="10" max="16384" width="9.140625" style="35"/>
  </cols>
  <sheetData>
    <row r="1" spans="1:9" x14ac:dyDescent="0.25">
      <c r="A1" s="34"/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ht="30" customHeight="1" x14ac:dyDescent="0.25">
      <c r="A3" s="34"/>
      <c r="B3" s="99" t="s">
        <v>76</v>
      </c>
      <c r="C3" s="99"/>
      <c r="D3" s="99"/>
      <c r="E3" s="99"/>
      <c r="F3" s="99"/>
      <c r="G3" s="99"/>
      <c r="H3" s="99"/>
      <c r="I3" s="34"/>
    </row>
    <row r="4" spans="1:9" ht="15" customHeight="1" x14ac:dyDescent="0.25">
      <c r="A4" s="34"/>
      <c r="B4" s="99"/>
      <c r="C4" s="99"/>
      <c r="D4" s="99"/>
      <c r="E4" s="99"/>
      <c r="F4" s="99"/>
      <c r="G4" s="99"/>
      <c r="H4" s="99"/>
      <c r="I4" s="34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x14ac:dyDescent="0.25">
      <c r="A7" s="34"/>
      <c r="B7" s="34"/>
      <c r="C7" s="34"/>
      <c r="D7" s="34"/>
      <c r="E7" s="34"/>
      <c r="F7" s="34"/>
      <c r="G7" s="34"/>
      <c r="H7" s="34"/>
      <c r="I7" s="34"/>
    </row>
    <row r="8" spans="1:9" ht="30" customHeight="1" x14ac:dyDescent="0.25">
      <c r="A8" s="34"/>
      <c r="B8" s="96" t="s">
        <v>197</v>
      </c>
      <c r="C8" s="97"/>
      <c r="D8" s="97"/>
      <c r="E8" s="97"/>
      <c r="F8" s="97"/>
      <c r="G8" s="97"/>
      <c r="H8" s="98"/>
      <c r="I8" s="34"/>
    </row>
    <row r="9" spans="1:9" x14ac:dyDescent="0.25">
      <c r="A9" s="34"/>
      <c r="B9" s="80" t="s">
        <v>77</v>
      </c>
      <c r="C9" s="81"/>
      <c r="D9" s="81"/>
      <c r="E9" s="81"/>
      <c r="F9" s="82"/>
      <c r="G9" s="9">
        <v>8028514</v>
      </c>
      <c r="H9" s="20" t="s">
        <v>4</v>
      </c>
      <c r="I9" s="34"/>
    </row>
    <row r="10" spans="1:9" x14ac:dyDescent="0.25">
      <c r="A10" s="34"/>
      <c r="B10" s="80" t="s">
        <v>78</v>
      </c>
      <c r="C10" s="81"/>
      <c r="D10" s="81"/>
      <c r="E10" s="81"/>
      <c r="F10" s="82"/>
      <c r="G10" s="9">
        <v>9156000</v>
      </c>
      <c r="H10" s="20" t="s">
        <v>4</v>
      </c>
      <c r="I10" s="34"/>
    </row>
    <row r="11" spans="1:9" x14ac:dyDescent="0.25">
      <c r="A11" s="34"/>
      <c r="B11" s="90" t="s">
        <v>198</v>
      </c>
      <c r="C11" s="91"/>
      <c r="D11" s="91"/>
      <c r="E11" s="91"/>
      <c r="F11" s="92"/>
      <c r="G11" s="18">
        <f>G9-G10</f>
        <v>-1127486</v>
      </c>
      <c r="H11" s="19" t="s">
        <v>4</v>
      </c>
      <c r="I11" s="34"/>
    </row>
    <row r="12" spans="1:9" x14ac:dyDescent="0.25">
      <c r="A12" s="34"/>
      <c r="B12" s="21"/>
      <c r="C12" s="21"/>
      <c r="D12" s="21"/>
      <c r="E12" s="21"/>
      <c r="F12" s="21"/>
      <c r="G12" s="21"/>
      <c r="H12" s="21"/>
      <c r="I12" s="34"/>
    </row>
    <row r="13" spans="1:9" x14ac:dyDescent="0.25">
      <c r="A13" s="34"/>
      <c r="B13" s="21"/>
      <c r="C13" s="21"/>
      <c r="D13" s="21"/>
      <c r="E13" s="21"/>
      <c r="F13" s="21"/>
      <c r="G13" s="21"/>
      <c r="H13" s="21"/>
      <c r="I13" s="34"/>
    </row>
    <row r="14" spans="1:9" x14ac:dyDescent="0.25">
      <c r="A14" s="34"/>
      <c r="B14" s="96" t="s">
        <v>199</v>
      </c>
      <c r="C14" s="97"/>
      <c r="D14" s="97"/>
      <c r="E14" s="97"/>
      <c r="F14" s="97"/>
      <c r="G14" s="97"/>
      <c r="H14" s="98"/>
      <c r="I14" s="34"/>
    </row>
    <row r="15" spans="1:9" x14ac:dyDescent="0.25">
      <c r="A15" s="34"/>
      <c r="B15" s="80" t="s">
        <v>79</v>
      </c>
      <c r="C15" s="81"/>
      <c r="D15" s="81"/>
      <c r="E15" s="81"/>
      <c r="F15" s="82"/>
      <c r="G15" s="9">
        <v>1173566</v>
      </c>
      <c r="H15" s="20" t="s">
        <v>4</v>
      </c>
      <c r="I15" s="34"/>
    </row>
    <row r="16" spans="1:9" x14ac:dyDescent="0.25">
      <c r="A16" s="34"/>
      <c r="B16" s="80" t="s">
        <v>80</v>
      </c>
      <c r="C16" s="81"/>
      <c r="D16" s="81"/>
      <c r="E16" s="81"/>
      <c r="F16" s="82"/>
      <c r="G16" s="9">
        <v>1299000</v>
      </c>
      <c r="H16" s="20" t="s">
        <v>4</v>
      </c>
      <c r="I16" s="34"/>
    </row>
    <row r="17" spans="1:9" x14ac:dyDescent="0.25">
      <c r="A17" s="34"/>
      <c r="B17" s="90" t="s">
        <v>199</v>
      </c>
      <c r="C17" s="91"/>
      <c r="D17" s="91"/>
      <c r="E17" s="91"/>
      <c r="F17" s="92"/>
      <c r="G17" s="18">
        <f>G15-G16</f>
        <v>-125434</v>
      </c>
      <c r="H17" s="19" t="s">
        <v>4</v>
      </c>
      <c r="I17" s="34"/>
    </row>
    <row r="18" spans="1:9" x14ac:dyDescent="0.25">
      <c r="A18" s="34"/>
      <c r="B18" s="21"/>
      <c r="C18" s="21"/>
      <c r="D18" s="21"/>
      <c r="E18" s="21"/>
      <c r="F18" s="21"/>
      <c r="G18" s="21"/>
      <c r="H18" s="21"/>
      <c r="I18" s="34"/>
    </row>
    <row r="19" spans="1:9" x14ac:dyDescent="0.25">
      <c r="A19" s="34"/>
      <c r="B19" s="21"/>
      <c r="C19" s="21"/>
      <c r="D19" s="21"/>
      <c r="E19" s="21"/>
      <c r="F19" s="21"/>
      <c r="G19" s="21"/>
      <c r="H19" s="21"/>
      <c r="I19" s="34"/>
    </row>
    <row r="20" spans="1:9" x14ac:dyDescent="0.25">
      <c r="A20" s="34"/>
      <c r="B20" s="96" t="s">
        <v>200</v>
      </c>
      <c r="C20" s="97"/>
      <c r="D20" s="97"/>
      <c r="E20" s="97"/>
      <c r="F20" s="97"/>
      <c r="G20" s="97"/>
      <c r="H20" s="98"/>
      <c r="I20" s="34"/>
    </row>
    <row r="21" spans="1:9" x14ac:dyDescent="0.25">
      <c r="A21" s="34"/>
      <c r="B21" s="80" t="s">
        <v>81</v>
      </c>
      <c r="C21" s="81"/>
      <c r="D21" s="81"/>
      <c r="E21" s="81"/>
      <c r="F21" s="82"/>
      <c r="G21" s="9">
        <v>187681</v>
      </c>
      <c r="H21" s="20" t="s">
        <v>4</v>
      </c>
      <c r="I21" s="34"/>
    </row>
    <row r="22" spans="1:9" x14ac:dyDescent="0.25">
      <c r="A22" s="34"/>
      <c r="B22" s="80" t="s">
        <v>82</v>
      </c>
      <c r="C22" s="81"/>
      <c r="D22" s="81"/>
      <c r="E22" s="81"/>
      <c r="F22" s="82"/>
      <c r="G22" s="9">
        <v>375000</v>
      </c>
      <c r="H22" s="20" t="s">
        <v>4</v>
      </c>
      <c r="I22" s="34"/>
    </row>
    <row r="23" spans="1:9" x14ac:dyDescent="0.25">
      <c r="A23" s="34"/>
      <c r="B23" s="90" t="s">
        <v>200</v>
      </c>
      <c r="C23" s="91"/>
      <c r="D23" s="91"/>
      <c r="E23" s="91"/>
      <c r="F23" s="92"/>
      <c r="G23" s="18">
        <f>G21-G22</f>
        <v>-187319</v>
      </c>
      <c r="H23" s="19" t="s">
        <v>4</v>
      </c>
      <c r="I23" s="34"/>
    </row>
    <row r="24" spans="1:9" ht="15" customHeight="1" x14ac:dyDescent="0.25">
      <c r="A24" s="34"/>
      <c r="B24" s="21"/>
      <c r="C24" s="21"/>
      <c r="D24" s="21"/>
      <c r="E24" s="21"/>
      <c r="F24" s="21"/>
      <c r="G24" s="21"/>
      <c r="H24" s="21"/>
      <c r="I24" s="34"/>
    </row>
    <row r="25" spans="1:9" x14ac:dyDescent="0.25">
      <c r="A25" s="34"/>
      <c r="B25" s="21"/>
      <c r="C25" s="21"/>
      <c r="D25" s="21"/>
      <c r="E25" s="21"/>
      <c r="F25" s="21"/>
      <c r="G25" s="21"/>
      <c r="H25" s="21"/>
      <c r="I25" s="34"/>
    </row>
    <row r="26" spans="1:9" ht="15" customHeight="1" x14ac:dyDescent="0.25">
      <c r="A26" s="34"/>
      <c r="B26" s="96" t="s">
        <v>201</v>
      </c>
      <c r="C26" s="97"/>
      <c r="D26" s="97"/>
      <c r="E26" s="97"/>
      <c r="F26" s="97"/>
      <c r="G26" s="97"/>
      <c r="H26" s="98"/>
      <c r="I26" s="34"/>
    </row>
    <row r="27" spans="1:9" ht="29.25" customHeight="1" x14ac:dyDescent="0.25">
      <c r="A27" s="34"/>
      <c r="B27" s="77" t="s">
        <v>83</v>
      </c>
      <c r="C27" s="78"/>
      <c r="D27" s="78"/>
      <c r="E27" s="78"/>
      <c r="F27" s="79"/>
      <c r="G27" s="9">
        <v>0</v>
      </c>
      <c r="H27" s="20" t="s">
        <v>4</v>
      </c>
      <c r="I27" s="34"/>
    </row>
    <row r="28" spans="1:9" x14ac:dyDescent="0.25">
      <c r="A28" s="34"/>
      <c r="B28" s="80" t="s">
        <v>84</v>
      </c>
      <c r="C28" s="81"/>
      <c r="D28" s="81"/>
      <c r="E28" s="81"/>
      <c r="F28" s="82"/>
      <c r="G28" s="9">
        <v>591009</v>
      </c>
      <c r="H28" s="20" t="s">
        <v>4</v>
      </c>
      <c r="I28" s="34"/>
    </row>
    <row r="29" spans="1:9" ht="15" customHeight="1" x14ac:dyDescent="0.25">
      <c r="A29" s="34"/>
      <c r="B29" s="96" t="s">
        <v>201</v>
      </c>
      <c r="C29" s="97"/>
      <c r="D29" s="97"/>
      <c r="E29" s="97"/>
      <c r="F29" s="98"/>
      <c r="G29" s="18">
        <f>G27-G28</f>
        <v>-591009</v>
      </c>
      <c r="H29" s="19" t="s">
        <v>4</v>
      </c>
      <c r="I29" s="34"/>
    </row>
    <row r="30" spans="1:9" x14ac:dyDescent="0.25">
      <c r="A30" s="34"/>
      <c r="B30" s="21"/>
      <c r="C30" s="21"/>
      <c r="D30" s="21"/>
      <c r="E30" s="21"/>
      <c r="F30" s="21"/>
      <c r="G30" s="21"/>
      <c r="H30" s="21"/>
      <c r="I30" s="34"/>
    </row>
    <row r="31" spans="1:9" x14ac:dyDescent="0.25">
      <c r="A31" s="34"/>
      <c r="B31" s="21"/>
      <c r="C31" s="21"/>
      <c r="D31" s="21"/>
      <c r="E31" s="21"/>
      <c r="F31" s="21"/>
      <c r="G31" s="21"/>
      <c r="H31" s="21"/>
      <c r="I31" s="34"/>
    </row>
    <row r="32" spans="1:9" x14ac:dyDescent="0.25">
      <c r="A32" s="34"/>
      <c r="B32" s="96" t="s">
        <v>85</v>
      </c>
      <c r="C32" s="97"/>
      <c r="D32" s="97"/>
      <c r="E32" s="97"/>
      <c r="F32" s="97"/>
      <c r="G32" s="97"/>
      <c r="H32" s="98"/>
      <c r="I32" s="34"/>
    </row>
    <row r="33" spans="1:9" x14ac:dyDescent="0.25">
      <c r="A33" s="34"/>
      <c r="B33" s="80" t="s">
        <v>86</v>
      </c>
      <c r="C33" s="81"/>
      <c r="D33" s="81"/>
      <c r="E33" s="81"/>
      <c r="F33" s="82"/>
      <c r="G33" s="9">
        <f>'Fane 8. Gen. inv. i 2016'!F66</f>
        <v>1266524.6866666665</v>
      </c>
      <c r="H33" s="20" t="s">
        <v>4</v>
      </c>
      <c r="I33" s="34"/>
    </row>
    <row r="34" spans="1:9" x14ac:dyDescent="0.25">
      <c r="A34" s="34"/>
      <c r="B34" s="80" t="s">
        <v>87</v>
      </c>
      <c r="C34" s="81"/>
      <c r="D34" s="81"/>
      <c r="E34" s="81"/>
      <c r="F34" s="82"/>
      <c r="G34" s="9">
        <v>376333.33333333331</v>
      </c>
      <c r="H34" s="20" t="s">
        <v>4</v>
      </c>
      <c r="I34" s="34"/>
    </row>
    <row r="35" spans="1:9" x14ac:dyDescent="0.25">
      <c r="A35" s="34"/>
      <c r="B35" s="90" t="s">
        <v>85</v>
      </c>
      <c r="C35" s="91"/>
      <c r="D35" s="91"/>
      <c r="E35" s="91"/>
      <c r="F35" s="92"/>
      <c r="G35" s="18">
        <f>G33-G34</f>
        <v>890191.35333333327</v>
      </c>
      <c r="H35" s="19" t="s">
        <v>4</v>
      </c>
      <c r="I35" s="34"/>
    </row>
    <row r="36" spans="1:9" x14ac:dyDescent="0.25">
      <c r="A36" s="34"/>
      <c r="B36" s="34"/>
      <c r="C36" s="34"/>
      <c r="D36" s="34"/>
      <c r="E36" s="34"/>
      <c r="F36" s="34"/>
      <c r="G36" s="34"/>
      <c r="H36" s="34"/>
      <c r="I36" s="34"/>
    </row>
    <row r="37" spans="1:9" x14ac:dyDescent="0.25">
      <c r="A37" s="34"/>
      <c r="B37" s="34"/>
      <c r="C37" s="34"/>
      <c r="D37" s="34"/>
      <c r="E37" s="34"/>
      <c r="F37" s="34"/>
      <c r="G37" s="34"/>
      <c r="H37" s="34"/>
      <c r="I37" s="34"/>
    </row>
    <row r="38" spans="1:9" x14ac:dyDescent="0.25">
      <c r="A38" s="34"/>
      <c r="B38" s="34"/>
      <c r="C38" s="34"/>
      <c r="D38" s="34"/>
      <c r="E38" s="34"/>
      <c r="F38" s="34"/>
      <c r="G38" s="34"/>
      <c r="H38" s="34"/>
      <c r="I38" s="34"/>
    </row>
    <row r="39" spans="1:9" x14ac:dyDescent="0.25">
      <c r="A39" s="34"/>
      <c r="B39" s="34"/>
      <c r="C39" s="34"/>
      <c r="D39" s="34"/>
      <c r="E39" s="34"/>
      <c r="F39" s="34"/>
      <c r="G39" s="34"/>
      <c r="H39" s="34"/>
      <c r="I39" s="34"/>
    </row>
    <row r="40" spans="1:9" x14ac:dyDescent="0.25">
      <c r="A40" s="34"/>
      <c r="B40" s="34"/>
      <c r="C40" s="34"/>
      <c r="D40" s="34"/>
      <c r="E40" s="34"/>
      <c r="F40" s="34"/>
      <c r="G40" s="34"/>
      <c r="H40" s="34"/>
      <c r="I40" s="34"/>
    </row>
    <row r="41" spans="1:9" x14ac:dyDescent="0.25">
      <c r="A41" s="34"/>
      <c r="B41" s="34"/>
      <c r="C41" s="34"/>
      <c r="D41" s="34"/>
      <c r="E41" s="34"/>
      <c r="F41" s="34"/>
      <c r="G41" s="34"/>
      <c r="H41" s="34"/>
      <c r="I41" s="34"/>
    </row>
    <row r="42" spans="1:9" x14ac:dyDescent="0.25">
      <c r="A42" s="34"/>
      <c r="B42" s="34"/>
      <c r="C42" s="34"/>
      <c r="D42" s="34"/>
      <c r="E42" s="34"/>
      <c r="F42" s="34"/>
      <c r="G42" s="34"/>
      <c r="H42" s="34"/>
      <c r="I42" s="34"/>
    </row>
    <row r="43" spans="1:9" x14ac:dyDescent="0.25">
      <c r="A43" s="34"/>
      <c r="B43" s="34"/>
      <c r="C43" s="34"/>
      <c r="D43" s="34"/>
      <c r="E43" s="34"/>
      <c r="F43" s="34"/>
      <c r="G43" s="34"/>
      <c r="H43" s="34"/>
      <c r="I43" s="34"/>
    </row>
    <row r="44" spans="1:9" x14ac:dyDescent="0.25">
      <c r="A44" s="34"/>
      <c r="B44" s="34"/>
      <c r="C44" s="34"/>
      <c r="D44" s="34"/>
      <c r="E44" s="34"/>
      <c r="F44" s="34"/>
      <c r="G44" s="34"/>
      <c r="H44" s="34"/>
      <c r="I44" s="34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5" customWidth="1"/>
    <col min="2" max="3" width="9.140625" style="35"/>
    <col min="4" max="4" width="27" style="35" customWidth="1"/>
    <col min="5" max="5" width="10.7109375" style="35" customWidth="1"/>
    <col min="6" max="6" width="3.28515625" style="35" customWidth="1"/>
    <col min="7" max="7" width="10.7109375" style="35" customWidth="1"/>
    <col min="8" max="8" width="3.28515625" style="35" customWidth="1"/>
    <col min="9" max="9" width="5.140625" style="35" customWidth="1"/>
    <col min="10" max="16384" width="9.140625" style="35"/>
  </cols>
  <sheetData>
    <row r="1" spans="1:9" x14ac:dyDescent="0.25">
      <c r="A1" s="34"/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ht="29.25" customHeight="1" x14ac:dyDescent="0.25">
      <c r="A3" s="34"/>
      <c r="B3" s="99" t="s">
        <v>88</v>
      </c>
      <c r="C3" s="99"/>
      <c r="D3" s="99"/>
      <c r="E3" s="99"/>
      <c r="F3" s="99"/>
      <c r="G3" s="99"/>
      <c r="H3" s="99"/>
      <c r="I3" s="34"/>
    </row>
    <row r="4" spans="1:9" ht="15" customHeight="1" x14ac:dyDescent="0.25">
      <c r="A4" s="34"/>
      <c r="B4" s="99"/>
      <c r="C4" s="99"/>
      <c r="D4" s="99"/>
      <c r="E4" s="99"/>
      <c r="F4" s="99"/>
      <c r="G4" s="99"/>
      <c r="H4" s="99"/>
      <c r="I4" s="34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x14ac:dyDescent="0.25">
      <c r="A7" s="34"/>
      <c r="B7" s="34"/>
      <c r="C7" s="34"/>
      <c r="D7" s="34"/>
      <c r="E7" s="34"/>
      <c r="F7" s="34"/>
      <c r="G7" s="34"/>
      <c r="H7" s="34"/>
      <c r="I7" s="34"/>
    </row>
    <row r="8" spans="1:9" x14ac:dyDescent="0.25">
      <c r="A8" s="34"/>
      <c r="B8" s="90" t="s">
        <v>89</v>
      </c>
      <c r="C8" s="91"/>
      <c r="D8" s="91"/>
      <c r="E8" s="91"/>
      <c r="F8" s="91"/>
      <c r="G8" s="91"/>
      <c r="H8" s="92"/>
      <c r="I8" s="34"/>
    </row>
    <row r="9" spans="1:9" x14ac:dyDescent="0.25">
      <c r="A9" s="34"/>
      <c r="B9" s="87" t="s">
        <v>90</v>
      </c>
      <c r="C9" s="88"/>
      <c r="D9" s="88"/>
      <c r="E9" s="88"/>
      <c r="F9" s="89"/>
      <c r="G9" s="15">
        <v>57462094.408018887</v>
      </c>
      <c r="H9" s="25" t="s">
        <v>4</v>
      </c>
      <c r="I9" s="34"/>
    </row>
    <row r="10" spans="1:9" x14ac:dyDescent="0.25">
      <c r="A10" s="34"/>
      <c r="B10" s="90" t="s">
        <v>91</v>
      </c>
      <c r="C10" s="91"/>
      <c r="D10" s="91"/>
      <c r="E10" s="91"/>
      <c r="F10" s="91"/>
      <c r="G10" s="91"/>
      <c r="H10" s="92"/>
      <c r="I10" s="34"/>
    </row>
    <row r="11" spans="1:9" x14ac:dyDescent="0.25">
      <c r="A11" s="34"/>
      <c r="B11" s="80" t="s">
        <v>19</v>
      </c>
      <c r="C11" s="81"/>
      <c r="D11" s="82"/>
      <c r="E11" s="9">
        <v>23144414</v>
      </c>
      <c r="F11" s="20" t="s">
        <v>4</v>
      </c>
      <c r="G11" s="17"/>
      <c r="H11" s="28"/>
      <c r="I11" s="34"/>
    </row>
    <row r="12" spans="1:9" x14ac:dyDescent="0.25">
      <c r="A12" s="34"/>
      <c r="B12" s="80" t="s">
        <v>92</v>
      </c>
      <c r="C12" s="81"/>
      <c r="D12" s="82"/>
      <c r="E12" s="9">
        <v>2672111.5933333333</v>
      </c>
      <c r="F12" s="20" t="s">
        <v>4</v>
      </c>
      <c r="G12" s="12"/>
      <c r="H12" s="29"/>
      <c r="I12" s="34"/>
    </row>
    <row r="13" spans="1:9" x14ac:dyDescent="0.25">
      <c r="A13" s="34"/>
      <c r="B13" s="80" t="s">
        <v>93</v>
      </c>
      <c r="C13" s="81"/>
      <c r="D13" s="82"/>
      <c r="E13" s="9">
        <v>261133</v>
      </c>
      <c r="F13" s="20" t="s">
        <v>4</v>
      </c>
      <c r="G13" s="12"/>
      <c r="H13" s="29"/>
      <c r="I13" s="34"/>
    </row>
    <row r="14" spans="1:9" x14ac:dyDescent="0.25">
      <c r="A14" s="34"/>
      <c r="B14" s="80" t="s">
        <v>94</v>
      </c>
      <c r="C14" s="81"/>
      <c r="D14" s="82"/>
      <c r="E14" s="9">
        <v>1092661</v>
      </c>
      <c r="F14" s="20" t="s">
        <v>4</v>
      </c>
      <c r="G14" s="12"/>
      <c r="H14" s="29"/>
      <c r="I14" s="34"/>
    </row>
    <row r="15" spans="1:9" x14ac:dyDescent="0.25">
      <c r="A15" s="34"/>
      <c r="B15" s="87" t="s">
        <v>20</v>
      </c>
      <c r="C15" s="88"/>
      <c r="D15" s="89"/>
      <c r="E15" s="15">
        <f>SUM(E11:E14)</f>
        <v>27170319.593333334</v>
      </c>
      <c r="F15" s="25" t="s">
        <v>4</v>
      </c>
      <c r="G15" s="12"/>
      <c r="H15" s="29"/>
      <c r="I15" s="34"/>
    </row>
    <row r="16" spans="1:9" x14ac:dyDescent="0.25">
      <c r="A16" s="34"/>
      <c r="B16" s="80" t="s">
        <v>21</v>
      </c>
      <c r="C16" s="81"/>
      <c r="D16" s="82"/>
      <c r="E16" s="9">
        <v>63111</v>
      </c>
      <c r="F16" s="20" t="s">
        <v>4</v>
      </c>
      <c r="G16" s="12"/>
      <c r="H16" s="29"/>
      <c r="I16" s="34"/>
    </row>
    <row r="17" spans="1:9" x14ac:dyDescent="0.25">
      <c r="A17" s="34"/>
      <c r="B17" s="80" t="s">
        <v>22</v>
      </c>
      <c r="C17" s="81"/>
      <c r="D17" s="82"/>
      <c r="E17" s="9">
        <v>0</v>
      </c>
      <c r="F17" s="20" t="s">
        <v>4</v>
      </c>
      <c r="G17" s="12"/>
      <c r="H17" s="29"/>
      <c r="I17" s="34"/>
    </row>
    <row r="18" spans="1:9" x14ac:dyDescent="0.25">
      <c r="A18" s="34"/>
      <c r="B18" s="80" t="s">
        <v>23</v>
      </c>
      <c r="C18" s="81"/>
      <c r="D18" s="82"/>
      <c r="E18" s="9">
        <v>0</v>
      </c>
      <c r="F18" s="20" t="s">
        <v>4</v>
      </c>
      <c r="G18" s="12"/>
      <c r="H18" s="29"/>
      <c r="I18" s="34"/>
    </row>
    <row r="19" spans="1:9" x14ac:dyDescent="0.25">
      <c r="A19" s="34"/>
      <c r="B19" s="87" t="s">
        <v>24</v>
      </c>
      <c r="C19" s="88"/>
      <c r="D19" s="89"/>
      <c r="E19" s="15">
        <f>SUM(E16:E18)</f>
        <v>63111</v>
      </c>
      <c r="F19" s="25" t="s">
        <v>4</v>
      </c>
      <c r="G19" s="12"/>
      <c r="H19" s="29"/>
      <c r="I19" s="34"/>
    </row>
    <row r="20" spans="1:9" ht="29.25" customHeight="1" x14ac:dyDescent="0.25">
      <c r="A20" s="34"/>
      <c r="B20" s="77" t="s">
        <v>25</v>
      </c>
      <c r="C20" s="78"/>
      <c r="D20" s="79"/>
      <c r="E20" s="9">
        <v>-10671564</v>
      </c>
      <c r="F20" s="20" t="s">
        <v>4</v>
      </c>
      <c r="G20" s="12"/>
      <c r="H20" s="29"/>
      <c r="I20" s="34"/>
    </row>
    <row r="21" spans="1:9" ht="30.75" customHeight="1" x14ac:dyDescent="0.25">
      <c r="A21" s="34"/>
      <c r="B21" s="77" t="s">
        <v>26</v>
      </c>
      <c r="C21" s="78"/>
      <c r="D21" s="79"/>
      <c r="E21" s="9">
        <v>-21625882</v>
      </c>
      <c r="F21" s="20" t="s">
        <v>4</v>
      </c>
      <c r="G21" s="12"/>
      <c r="H21" s="29"/>
      <c r="I21" s="34"/>
    </row>
    <row r="22" spans="1:9" x14ac:dyDescent="0.25">
      <c r="A22" s="34"/>
      <c r="B22" s="80" t="s">
        <v>27</v>
      </c>
      <c r="C22" s="81"/>
      <c r="D22" s="82"/>
      <c r="E22" s="9">
        <v>-7157460</v>
      </c>
      <c r="F22" s="20" t="s">
        <v>4</v>
      </c>
      <c r="G22" s="12"/>
      <c r="H22" s="29"/>
      <c r="I22" s="34"/>
    </row>
    <row r="23" spans="1:9" x14ac:dyDescent="0.25">
      <c r="A23" s="34"/>
      <c r="B23" s="80" t="s">
        <v>28</v>
      </c>
      <c r="C23" s="81"/>
      <c r="D23" s="82"/>
      <c r="E23" s="9">
        <v>0</v>
      </c>
      <c r="F23" s="20" t="s">
        <v>4</v>
      </c>
      <c r="G23" s="12"/>
      <c r="H23" s="29"/>
      <c r="I23" s="34"/>
    </row>
    <row r="24" spans="1:9" ht="30" customHeight="1" x14ac:dyDescent="0.25">
      <c r="A24" s="34"/>
      <c r="B24" s="77" t="s">
        <v>29</v>
      </c>
      <c r="C24" s="78"/>
      <c r="D24" s="79"/>
      <c r="E24" s="9">
        <v>0</v>
      </c>
      <c r="F24" s="20" t="s">
        <v>4</v>
      </c>
      <c r="G24" s="12"/>
      <c r="H24" s="29"/>
      <c r="I24" s="34"/>
    </row>
    <row r="25" spans="1:9" ht="30" customHeight="1" x14ac:dyDescent="0.25">
      <c r="A25" s="34"/>
      <c r="B25" s="77" t="s">
        <v>30</v>
      </c>
      <c r="C25" s="78"/>
      <c r="D25" s="79"/>
      <c r="E25" s="9">
        <v>0</v>
      </c>
      <c r="F25" s="20" t="s">
        <v>4</v>
      </c>
      <c r="G25" s="12"/>
      <c r="H25" s="29"/>
      <c r="I25" s="34"/>
    </row>
    <row r="26" spans="1:9" ht="30" customHeight="1" x14ac:dyDescent="0.25">
      <c r="A26" s="34"/>
      <c r="B26" s="77" t="s">
        <v>31</v>
      </c>
      <c r="C26" s="78"/>
      <c r="D26" s="79"/>
      <c r="E26" s="9">
        <v>-161813</v>
      </c>
      <c r="F26" s="20" t="s">
        <v>4</v>
      </c>
      <c r="G26" s="12"/>
      <c r="H26" s="29"/>
      <c r="I26" s="34"/>
    </row>
    <row r="27" spans="1:9" x14ac:dyDescent="0.25">
      <c r="A27" s="34"/>
      <c r="B27" s="87" t="s">
        <v>32</v>
      </c>
      <c r="C27" s="88"/>
      <c r="D27" s="89"/>
      <c r="E27" s="15">
        <f>SUM(E20:E26)</f>
        <v>-39616719</v>
      </c>
      <c r="F27" s="25" t="s">
        <v>4</v>
      </c>
      <c r="G27" s="13"/>
      <c r="H27" s="30"/>
      <c r="I27" s="34"/>
    </row>
    <row r="28" spans="1:9" x14ac:dyDescent="0.25">
      <c r="A28" s="34"/>
      <c r="B28" s="87" t="s">
        <v>33</v>
      </c>
      <c r="C28" s="88"/>
      <c r="D28" s="89"/>
      <c r="E28" s="15">
        <f>E15+E19+E27</f>
        <v>-12383288.406666666</v>
      </c>
      <c r="F28" s="25" t="s">
        <v>4</v>
      </c>
      <c r="G28" s="1">
        <f>IF(E28&lt;0,0,-E28)</f>
        <v>0</v>
      </c>
      <c r="H28" s="25" t="s">
        <v>4</v>
      </c>
      <c r="I28" s="34"/>
    </row>
    <row r="29" spans="1:9" x14ac:dyDescent="0.25">
      <c r="A29" s="34"/>
      <c r="B29" s="90" t="s">
        <v>95</v>
      </c>
      <c r="C29" s="91"/>
      <c r="D29" s="91"/>
      <c r="E29" s="91"/>
      <c r="F29" s="91"/>
      <c r="G29" s="91"/>
      <c r="H29" s="92"/>
      <c r="I29" s="34"/>
    </row>
    <row r="30" spans="1:9" x14ac:dyDescent="0.25">
      <c r="A30" s="34"/>
      <c r="B30" s="87" t="s">
        <v>95</v>
      </c>
      <c r="C30" s="88"/>
      <c r="D30" s="89"/>
      <c r="E30" s="15">
        <v>0</v>
      </c>
      <c r="F30" s="25" t="s">
        <v>4</v>
      </c>
      <c r="G30" s="15">
        <f>-$E$30</f>
        <v>0</v>
      </c>
      <c r="H30" s="25" t="s">
        <v>4</v>
      </c>
      <c r="I30" s="34"/>
    </row>
    <row r="31" spans="1:9" x14ac:dyDescent="0.25">
      <c r="A31" s="34"/>
      <c r="B31" s="108" t="s">
        <v>56</v>
      </c>
      <c r="C31" s="91"/>
      <c r="D31" s="91"/>
      <c r="E31" s="91"/>
      <c r="F31" s="91"/>
      <c r="G31" s="91"/>
      <c r="H31" s="92"/>
      <c r="I31" s="34"/>
    </row>
    <row r="32" spans="1:9" ht="30" customHeight="1" x14ac:dyDescent="0.25">
      <c r="A32" s="34"/>
      <c r="B32" s="77" t="s">
        <v>57</v>
      </c>
      <c r="C32" s="78"/>
      <c r="D32" s="79"/>
      <c r="E32" s="9">
        <v>57425002</v>
      </c>
      <c r="F32" s="20" t="s">
        <v>4</v>
      </c>
      <c r="G32" s="17"/>
      <c r="H32" s="28"/>
      <c r="I32" s="34"/>
    </row>
    <row r="33" spans="1:9" x14ac:dyDescent="0.25">
      <c r="A33" s="34"/>
      <c r="B33" s="80" t="s">
        <v>34</v>
      </c>
      <c r="C33" s="81"/>
      <c r="D33" s="82"/>
      <c r="E33" s="9">
        <v>460620</v>
      </c>
      <c r="F33" s="20" t="s">
        <v>4</v>
      </c>
      <c r="G33" s="12"/>
      <c r="H33" s="29"/>
      <c r="I33" s="34"/>
    </row>
    <row r="34" spans="1:9" ht="43.5" customHeight="1" x14ac:dyDescent="0.25">
      <c r="A34" s="34"/>
      <c r="B34" s="77" t="s">
        <v>35</v>
      </c>
      <c r="C34" s="78"/>
      <c r="D34" s="79"/>
      <c r="E34" s="9">
        <v>2373925</v>
      </c>
      <c r="F34" s="20" t="s">
        <v>4</v>
      </c>
      <c r="G34" s="13"/>
      <c r="H34" s="30"/>
      <c r="I34" s="34"/>
    </row>
    <row r="35" spans="1:9" x14ac:dyDescent="0.25">
      <c r="A35" s="34"/>
      <c r="B35" s="87" t="s">
        <v>36</v>
      </c>
      <c r="C35" s="88"/>
      <c r="D35" s="89"/>
      <c r="E35" s="15">
        <f>SUM(E32:E34)</f>
        <v>60259547</v>
      </c>
      <c r="F35" s="25" t="s">
        <v>4</v>
      </c>
      <c r="G35" s="15">
        <f>-E35</f>
        <v>-60259547</v>
      </c>
      <c r="H35" s="25" t="s">
        <v>4</v>
      </c>
      <c r="I35" s="34"/>
    </row>
    <row r="36" spans="1:9" x14ac:dyDescent="0.25">
      <c r="A36" s="34"/>
      <c r="B36" s="90" t="s">
        <v>96</v>
      </c>
      <c r="C36" s="91"/>
      <c r="D36" s="91"/>
      <c r="E36" s="91"/>
      <c r="F36" s="92"/>
      <c r="G36" s="18">
        <f>$G$9+$G$28+$G$30+$G$35</f>
        <v>-2797452.591981113</v>
      </c>
      <c r="H36" s="19" t="s">
        <v>4</v>
      </c>
      <c r="I36" s="34"/>
    </row>
    <row r="37" spans="1:9" x14ac:dyDescent="0.25">
      <c r="A37" s="34"/>
      <c r="B37" s="34"/>
      <c r="C37" s="34"/>
      <c r="D37" s="34"/>
      <c r="E37" s="34"/>
      <c r="F37" s="34"/>
      <c r="G37" s="34"/>
      <c r="H37" s="34"/>
      <c r="I37" s="34"/>
    </row>
    <row r="38" spans="1:9" x14ac:dyDescent="0.25">
      <c r="A38" s="34"/>
      <c r="B38" s="34"/>
      <c r="C38" s="34"/>
      <c r="D38" s="34"/>
      <c r="E38" s="34"/>
      <c r="F38" s="34"/>
      <c r="G38" s="34"/>
      <c r="H38" s="34"/>
      <c r="I38" s="34"/>
    </row>
    <row r="39" spans="1:9" x14ac:dyDescent="0.25">
      <c r="A39" s="34"/>
      <c r="B39" s="34"/>
      <c r="C39" s="34"/>
      <c r="D39" s="34"/>
      <c r="E39" s="34"/>
      <c r="F39" s="34"/>
      <c r="G39" s="34"/>
      <c r="H39" s="34"/>
      <c r="I39" s="34"/>
    </row>
    <row r="40" spans="1:9" x14ac:dyDescent="0.25">
      <c r="A40" s="34"/>
      <c r="B40" s="34"/>
      <c r="C40" s="34"/>
      <c r="D40" s="34"/>
      <c r="E40" s="34"/>
      <c r="F40" s="34"/>
      <c r="G40" s="34"/>
      <c r="H40" s="34"/>
      <c r="I40" s="34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5" customWidth="1"/>
    <col min="2" max="2" width="37.85546875" style="35" customWidth="1"/>
    <col min="3" max="3" width="5.42578125" style="35" customWidth="1"/>
    <col min="4" max="4" width="12" style="35" customWidth="1"/>
    <col min="5" max="5" width="3.28515625" style="35" customWidth="1"/>
    <col min="6" max="6" width="12" style="35" customWidth="1"/>
    <col min="7" max="7" width="3.28515625" style="35" customWidth="1"/>
    <col min="8" max="8" width="5.140625" style="35" customWidth="1"/>
    <col min="9" max="16384" width="9.140625" style="35"/>
  </cols>
  <sheetData>
    <row r="1" spans="1:8" x14ac:dyDescent="0.25">
      <c r="A1" s="34"/>
      <c r="B1" s="34"/>
      <c r="C1" s="34"/>
      <c r="D1" s="34"/>
      <c r="E1" s="34"/>
      <c r="F1" s="34"/>
      <c r="G1" s="34"/>
      <c r="H1" s="34"/>
    </row>
    <row r="2" spans="1:8" x14ac:dyDescent="0.25">
      <c r="A2" s="34"/>
      <c r="B2" s="34"/>
      <c r="C2" s="34"/>
      <c r="D2" s="34"/>
      <c r="E2" s="34"/>
      <c r="F2" s="34"/>
      <c r="G2" s="34"/>
      <c r="H2" s="34"/>
    </row>
    <row r="3" spans="1:8" ht="15" customHeight="1" x14ac:dyDescent="0.25">
      <c r="A3" s="34"/>
      <c r="B3" s="76" t="s">
        <v>124</v>
      </c>
      <c r="C3" s="76"/>
      <c r="D3" s="76"/>
      <c r="E3" s="76"/>
      <c r="F3" s="76"/>
      <c r="G3" s="76"/>
      <c r="H3" s="34"/>
    </row>
    <row r="4" spans="1:8" ht="15" customHeight="1" x14ac:dyDescent="0.25">
      <c r="A4" s="34"/>
      <c r="B4" s="76"/>
      <c r="C4" s="76"/>
      <c r="D4" s="76"/>
      <c r="E4" s="76"/>
      <c r="F4" s="76"/>
      <c r="G4" s="76"/>
      <c r="H4" s="34"/>
    </row>
    <row r="5" spans="1:8" x14ac:dyDescent="0.25">
      <c r="A5" s="34"/>
      <c r="B5" s="34"/>
      <c r="C5" s="34"/>
      <c r="D5" s="34"/>
      <c r="E5" s="34"/>
      <c r="F5" s="34"/>
      <c r="G5" s="34"/>
      <c r="H5" s="34"/>
    </row>
    <row r="6" spans="1:8" x14ac:dyDescent="0.25">
      <c r="A6" s="34"/>
      <c r="B6" s="34"/>
      <c r="C6" s="34"/>
      <c r="D6" s="34"/>
      <c r="E6" s="34"/>
      <c r="F6" s="34"/>
      <c r="G6" s="34"/>
      <c r="H6" s="34"/>
    </row>
    <row r="7" spans="1:8" x14ac:dyDescent="0.25">
      <c r="A7" s="34"/>
      <c r="B7" s="34"/>
      <c r="C7" s="34"/>
      <c r="D7" s="34"/>
      <c r="E7" s="34"/>
      <c r="F7" s="34"/>
      <c r="G7" s="34"/>
      <c r="H7" s="34"/>
    </row>
    <row r="8" spans="1:8" x14ac:dyDescent="0.25">
      <c r="A8" s="34"/>
      <c r="B8" s="90" t="s">
        <v>194</v>
      </c>
      <c r="C8" s="91"/>
      <c r="D8" s="91"/>
      <c r="E8" s="91"/>
      <c r="F8" s="91"/>
      <c r="G8" s="92"/>
      <c r="H8" s="34"/>
    </row>
    <row r="9" spans="1:8" ht="29.25" customHeight="1" x14ac:dyDescent="0.25">
      <c r="A9" s="34"/>
      <c r="B9" s="83" t="s">
        <v>115</v>
      </c>
      <c r="C9" s="85"/>
      <c r="D9" s="107" t="s">
        <v>47</v>
      </c>
      <c r="E9" s="107"/>
      <c r="F9" s="107" t="s">
        <v>125</v>
      </c>
      <c r="G9" s="107"/>
      <c r="H9" s="34"/>
    </row>
    <row r="10" spans="1:8" x14ac:dyDescent="0.25">
      <c r="A10" s="34"/>
      <c r="B10" s="109" t="s">
        <v>195</v>
      </c>
      <c r="C10" s="110"/>
      <c r="D10" s="39">
        <v>0</v>
      </c>
      <c r="E10" s="20" t="s">
        <v>4</v>
      </c>
      <c r="F10" s="9">
        <v>0</v>
      </c>
      <c r="G10" s="20" t="s">
        <v>4</v>
      </c>
      <c r="H10" s="34"/>
    </row>
    <row r="11" spans="1:8" x14ac:dyDescent="0.25">
      <c r="A11" s="34"/>
      <c r="B11" s="90" t="s">
        <v>131</v>
      </c>
      <c r="C11" s="91"/>
      <c r="D11" s="18">
        <f>SUM(D10:D10)</f>
        <v>0</v>
      </c>
      <c r="E11" s="19" t="s">
        <v>4</v>
      </c>
      <c r="F11" s="18">
        <f>SUM(F10:F10)</f>
        <v>0</v>
      </c>
      <c r="G11" s="19" t="s">
        <v>4</v>
      </c>
      <c r="H11" s="34"/>
    </row>
    <row r="12" spans="1:8" x14ac:dyDescent="0.25">
      <c r="A12" s="34"/>
      <c r="B12" s="90" t="s">
        <v>142</v>
      </c>
      <c r="C12" s="92"/>
      <c r="D12" s="18">
        <f>D11*(1+'Fane 2.1. Økonomisk ramme 2018'!E18/100)</f>
        <v>0</v>
      </c>
      <c r="E12" s="19" t="s">
        <v>4</v>
      </c>
      <c r="F12" s="18">
        <f>F11*(1+'Fane 2.1. Økonomisk ramme 2018'!E18/100)</f>
        <v>0</v>
      </c>
      <c r="G12" s="19" t="s">
        <v>4</v>
      </c>
      <c r="H12" s="34"/>
    </row>
    <row r="13" spans="1:8" x14ac:dyDescent="0.25">
      <c r="A13" s="34"/>
      <c r="B13" s="34"/>
      <c r="C13" s="34"/>
      <c r="D13" s="34"/>
      <c r="E13" s="34"/>
      <c r="F13" s="34"/>
      <c r="G13" s="34"/>
      <c r="H13" s="34"/>
    </row>
    <row r="14" spans="1:8" x14ac:dyDescent="0.25">
      <c r="A14" s="34"/>
      <c r="B14" s="34"/>
      <c r="C14" s="34"/>
      <c r="D14" s="34"/>
      <c r="E14" s="34"/>
      <c r="F14" s="34"/>
      <c r="G14" s="34"/>
      <c r="H14" s="34"/>
    </row>
    <row r="15" spans="1:8" x14ac:dyDescent="0.25">
      <c r="A15" s="34"/>
      <c r="B15" s="90" t="s">
        <v>190</v>
      </c>
      <c r="C15" s="91"/>
      <c r="D15" s="91"/>
      <c r="E15" s="91"/>
      <c r="F15" s="91"/>
      <c r="G15" s="92"/>
      <c r="H15" s="34"/>
    </row>
    <row r="16" spans="1:8" ht="15" customHeight="1" x14ac:dyDescent="0.25">
      <c r="A16" s="34"/>
      <c r="B16" s="83" t="s">
        <v>207</v>
      </c>
      <c r="C16" s="84"/>
      <c r="D16" s="84"/>
      <c r="E16" s="85"/>
      <c r="F16" s="107" t="s">
        <v>191</v>
      </c>
      <c r="G16" s="107"/>
      <c r="H16" s="34"/>
    </row>
    <row r="17" spans="1:8" x14ac:dyDescent="0.25">
      <c r="A17" s="34"/>
      <c r="B17" s="80" t="s">
        <v>203</v>
      </c>
      <c r="C17" s="81"/>
      <c r="D17" s="81"/>
      <c r="E17" s="82"/>
      <c r="F17" s="9">
        <v>0</v>
      </c>
      <c r="G17" s="20" t="s">
        <v>4</v>
      </c>
      <c r="H17" s="34"/>
    </row>
    <row r="18" spans="1:8" x14ac:dyDescent="0.25">
      <c r="A18" s="34"/>
      <c r="B18" s="90" t="s">
        <v>192</v>
      </c>
      <c r="C18" s="91"/>
      <c r="D18" s="91"/>
      <c r="E18" s="92"/>
      <c r="F18" s="18">
        <f>SUM(F17:F17)</f>
        <v>0</v>
      </c>
      <c r="G18" s="19" t="s">
        <v>4</v>
      </c>
      <c r="H18" s="34"/>
    </row>
    <row r="19" spans="1:8" x14ac:dyDescent="0.25">
      <c r="A19" s="34"/>
      <c r="B19" s="90" t="s">
        <v>193</v>
      </c>
      <c r="C19" s="91"/>
      <c r="D19" s="91"/>
      <c r="E19" s="92"/>
      <c r="F19" s="18">
        <f>F18*(1+'Fane 2.1. Økonomisk ramme 2018'!E18/100)</f>
        <v>0</v>
      </c>
      <c r="G19" s="19" t="s">
        <v>4</v>
      </c>
      <c r="H19" s="34"/>
    </row>
    <row r="20" spans="1:8" x14ac:dyDescent="0.25">
      <c r="A20" s="34"/>
      <c r="B20" s="34"/>
      <c r="C20" s="34"/>
      <c r="D20" s="34"/>
      <c r="E20" s="34"/>
      <c r="F20" s="34"/>
      <c r="G20" s="34"/>
      <c r="H20" s="34"/>
    </row>
    <row r="21" spans="1:8" x14ac:dyDescent="0.25">
      <c r="A21" s="34"/>
      <c r="B21" s="34"/>
      <c r="C21" s="34"/>
      <c r="D21" s="34"/>
      <c r="E21" s="34"/>
      <c r="F21" s="34"/>
      <c r="G21" s="34"/>
      <c r="H21" s="34"/>
    </row>
    <row r="22" spans="1:8" x14ac:dyDescent="0.25">
      <c r="A22" s="34"/>
      <c r="B22" s="34"/>
      <c r="C22" s="34"/>
      <c r="D22" s="34"/>
      <c r="E22" s="34"/>
      <c r="F22" s="34"/>
      <c r="G22" s="34"/>
      <c r="H22" s="34"/>
    </row>
    <row r="23" spans="1:8" x14ac:dyDescent="0.25">
      <c r="A23" s="34"/>
      <c r="B23" s="34"/>
      <c r="C23" s="34"/>
      <c r="D23" s="34"/>
      <c r="E23" s="34"/>
      <c r="F23" s="34"/>
      <c r="G23" s="34"/>
      <c r="H23" s="34"/>
    </row>
    <row r="24" spans="1:8" x14ac:dyDescent="0.25">
      <c r="A24" s="34"/>
      <c r="B24" s="34"/>
      <c r="C24" s="34"/>
      <c r="D24" s="34"/>
      <c r="E24" s="34"/>
      <c r="F24" s="34"/>
      <c r="G24" s="34"/>
      <c r="H24" s="34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5" customWidth="1"/>
    <col min="2" max="2" width="37.85546875" style="35" customWidth="1"/>
    <col min="3" max="3" width="5.42578125" style="35" customWidth="1"/>
    <col min="4" max="4" width="12" style="35" customWidth="1"/>
    <col min="5" max="5" width="3.28515625" style="35" customWidth="1"/>
    <col min="6" max="6" width="12" style="35" customWidth="1"/>
    <col min="7" max="7" width="3.28515625" style="35" customWidth="1"/>
    <col min="8" max="8" width="5.140625" style="35" customWidth="1"/>
    <col min="9" max="16384" width="9.140625" style="35"/>
  </cols>
  <sheetData>
    <row r="1" spans="1:8" x14ac:dyDescent="0.25">
      <c r="A1" s="34"/>
      <c r="B1" s="34"/>
      <c r="C1" s="34"/>
      <c r="D1" s="34"/>
      <c r="E1" s="34"/>
      <c r="F1" s="34"/>
      <c r="G1" s="34"/>
      <c r="H1" s="34"/>
    </row>
    <row r="2" spans="1:8" x14ac:dyDescent="0.25">
      <c r="A2" s="34"/>
      <c r="B2" s="34"/>
      <c r="C2" s="34"/>
      <c r="D2" s="34"/>
      <c r="E2" s="34"/>
      <c r="F2" s="34"/>
      <c r="G2" s="34"/>
      <c r="H2" s="34"/>
    </row>
    <row r="3" spans="1:8" ht="15" customHeight="1" x14ac:dyDescent="0.25">
      <c r="A3" s="34"/>
      <c r="B3" s="99" t="s">
        <v>117</v>
      </c>
      <c r="C3" s="99"/>
      <c r="D3" s="99"/>
      <c r="E3" s="99"/>
      <c r="F3" s="99"/>
      <c r="G3" s="99"/>
      <c r="H3" s="34"/>
    </row>
    <row r="4" spans="1:8" ht="25.5" customHeight="1" x14ac:dyDescent="0.25">
      <c r="A4" s="34"/>
      <c r="B4" s="99"/>
      <c r="C4" s="99"/>
      <c r="D4" s="99"/>
      <c r="E4" s="99"/>
      <c r="F4" s="99"/>
      <c r="G4" s="99"/>
      <c r="H4" s="34"/>
    </row>
    <row r="5" spans="1:8" x14ac:dyDescent="0.25">
      <c r="A5" s="34"/>
      <c r="B5" s="34"/>
      <c r="C5" s="34"/>
      <c r="D5" s="34"/>
      <c r="E5" s="34"/>
      <c r="F5" s="34"/>
      <c r="G5" s="34"/>
      <c r="H5" s="34"/>
    </row>
    <row r="6" spans="1:8" x14ac:dyDescent="0.25">
      <c r="A6" s="34"/>
      <c r="B6" s="34"/>
      <c r="C6" s="34"/>
      <c r="D6" s="34"/>
      <c r="E6" s="34"/>
      <c r="F6" s="34"/>
      <c r="G6" s="34"/>
      <c r="H6" s="34"/>
    </row>
    <row r="7" spans="1:8" x14ac:dyDescent="0.25">
      <c r="A7" s="34"/>
      <c r="B7" s="34"/>
      <c r="C7" s="34"/>
      <c r="D7" s="34"/>
      <c r="E7" s="34"/>
      <c r="F7" s="34"/>
      <c r="G7" s="34"/>
      <c r="H7" s="34"/>
    </row>
    <row r="8" spans="1:8" x14ac:dyDescent="0.25">
      <c r="A8" s="34"/>
      <c r="B8" s="90" t="s">
        <v>116</v>
      </c>
      <c r="C8" s="91"/>
      <c r="D8" s="91"/>
      <c r="E8" s="91"/>
      <c r="F8" s="91"/>
      <c r="G8" s="92"/>
      <c r="H8" s="34"/>
    </row>
    <row r="9" spans="1:8" ht="29.25" customHeight="1" x14ac:dyDescent="0.25">
      <c r="A9" s="34"/>
      <c r="B9" s="31" t="s">
        <v>118</v>
      </c>
      <c r="C9" s="32"/>
      <c r="D9" s="107" t="s">
        <v>47</v>
      </c>
      <c r="E9" s="107"/>
      <c r="F9" s="107" t="s">
        <v>125</v>
      </c>
      <c r="G9" s="107"/>
      <c r="H9" s="34"/>
    </row>
    <row r="10" spans="1:8" x14ac:dyDescent="0.25">
      <c r="A10" s="34"/>
      <c r="B10" s="40" t="s">
        <v>202</v>
      </c>
      <c r="C10" s="41"/>
      <c r="D10" s="9">
        <v>0</v>
      </c>
      <c r="E10" s="20" t="s">
        <v>4</v>
      </c>
      <c r="F10" s="9">
        <v>0</v>
      </c>
      <c r="G10" s="20" t="s">
        <v>4</v>
      </c>
      <c r="H10" s="34"/>
    </row>
    <row r="11" spans="1:8" x14ac:dyDescent="0.25">
      <c r="A11" s="34"/>
      <c r="B11" s="90" t="s">
        <v>126</v>
      </c>
      <c r="C11" s="92"/>
      <c r="D11" s="18">
        <f>-SUM(D10:D10)</f>
        <v>0</v>
      </c>
      <c r="E11" s="19" t="s">
        <v>4</v>
      </c>
      <c r="F11" s="18">
        <f>-SUM(F10:F10)</f>
        <v>0</v>
      </c>
      <c r="G11" s="19" t="s">
        <v>4</v>
      </c>
      <c r="H11" s="34"/>
    </row>
    <row r="12" spans="1:8" x14ac:dyDescent="0.25">
      <c r="A12" s="34"/>
      <c r="B12" s="90" t="s">
        <v>141</v>
      </c>
      <c r="C12" s="92"/>
      <c r="D12" s="18">
        <f>D11*(1+'Fane 2.1. Økonomisk ramme 2018'!E18/100)</f>
        <v>0</v>
      </c>
      <c r="E12" s="19" t="s">
        <v>4</v>
      </c>
      <c r="F12" s="18">
        <f>F11*(1+'Fane 2.1. Økonomisk ramme 2018'!E18/100)</f>
        <v>0</v>
      </c>
      <c r="G12" s="19" t="s">
        <v>4</v>
      </c>
      <c r="H12" s="34"/>
    </row>
    <row r="13" spans="1:8" x14ac:dyDescent="0.25">
      <c r="A13" s="34"/>
      <c r="B13" s="34"/>
      <c r="C13" s="34"/>
      <c r="D13" s="34"/>
      <c r="E13" s="34"/>
      <c r="F13" s="34"/>
      <c r="G13" s="34"/>
      <c r="H13" s="34"/>
    </row>
    <row r="14" spans="1:8" x14ac:dyDescent="0.25">
      <c r="A14" s="34"/>
      <c r="B14" s="34"/>
      <c r="C14" s="34"/>
      <c r="D14" s="34"/>
      <c r="E14" s="34"/>
      <c r="F14" s="34"/>
      <c r="G14" s="34"/>
      <c r="H14" s="34"/>
    </row>
    <row r="15" spans="1:8" x14ac:dyDescent="0.25">
      <c r="A15" s="34"/>
      <c r="B15" s="34"/>
      <c r="C15" s="34"/>
      <c r="D15" s="34"/>
      <c r="E15" s="34"/>
      <c r="F15" s="34"/>
      <c r="G15" s="34"/>
      <c r="H15" s="34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5" customWidth="1"/>
    <col min="2" max="3" width="9.140625" style="35"/>
    <col min="4" max="4" width="27.140625" style="35" customWidth="1"/>
    <col min="5" max="5" width="10.28515625" style="35" customWidth="1"/>
    <col min="6" max="6" width="3.85546875" style="35" customWidth="1"/>
    <col min="7" max="7" width="12.28515625" style="35" customWidth="1"/>
    <col min="8" max="8" width="3.28515625" style="35" customWidth="1"/>
    <col min="9" max="9" width="4.7109375" style="35" customWidth="1"/>
    <col min="10" max="16384" width="9.140625" style="35"/>
  </cols>
  <sheetData>
    <row r="1" spans="1:9" x14ac:dyDescent="0.25">
      <c r="A1" s="34"/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ht="15" customHeight="1" x14ac:dyDescent="0.25">
      <c r="A3" s="34"/>
      <c r="B3" s="76" t="s">
        <v>108</v>
      </c>
      <c r="C3" s="76"/>
      <c r="D3" s="76"/>
      <c r="E3" s="76"/>
      <c r="F3" s="76"/>
      <c r="G3" s="76"/>
      <c r="H3" s="76"/>
      <c r="I3" s="34"/>
    </row>
    <row r="4" spans="1:9" ht="15" customHeight="1" x14ac:dyDescent="0.25">
      <c r="A4" s="34"/>
      <c r="B4" s="76"/>
      <c r="C4" s="76"/>
      <c r="D4" s="76"/>
      <c r="E4" s="76"/>
      <c r="F4" s="76"/>
      <c r="G4" s="76"/>
      <c r="H4" s="76"/>
      <c r="I4" s="34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x14ac:dyDescent="0.25">
      <c r="A7" s="34"/>
      <c r="B7" s="34"/>
      <c r="C7" s="34"/>
      <c r="D7" s="34"/>
      <c r="E7" s="34"/>
      <c r="F7" s="34"/>
      <c r="G7" s="34"/>
      <c r="H7" s="34"/>
      <c r="I7" s="34"/>
    </row>
    <row r="8" spans="1:9" x14ac:dyDescent="0.25">
      <c r="A8" s="34"/>
      <c r="B8" s="90" t="s">
        <v>55</v>
      </c>
      <c r="C8" s="91"/>
      <c r="D8" s="91"/>
      <c r="E8" s="91"/>
      <c r="F8" s="91"/>
      <c r="G8" s="91"/>
      <c r="H8" s="92"/>
      <c r="I8" s="34"/>
    </row>
    <row r="9" spans="1:9" ht="15" customHeight="1" x14ac:dyDescent="0.25">
      <c r="A9" s="34"/>
      <c r="B9" s="77" t="s">
        <v>59</v>
      </c>
      <c r="C9" s="78"/>
      <c r="D9" s="79"/>
      <c r="E9" s="5">
        <f>'Fane 3. Korrigeret grundlag'!G23</f>
        <v>60456778.740900323</v>
      </c>
      <c r="F9" s="6" t="s">
        <v>4</v>
      </c>
      <c r="G9" s="7"/>
      <c r="H9" s="8"/>
      <c r="I9" s="34"/>
    </row>
    <row r="10" spans="1:9" x14ac:dyDescent="0.25">
      <c r="A10" s="34"/>
      <c r="B10" s="86" t="s">
        <v>46</v>
      </c>
      <c r="C10" s="81"/>
      <c r="D10" s="82"/>
      <c r="E10" s="9">
        <f>'Fane 3. Korrigeret grundlag'!G22</f>
        <v>8128194.3804159798</v>
      </c>
      <c r="F10" s="6" t="s">
        <v>4</v>
      </c>
      <c r="G10" s="10"/>
      <c r="H10" s="11"/>
      <c r="I10" s="34"/>
    </row>
    <row r="11" spans="1:9" x14ac:dyDescent="0.25">
      <c r="A11" s="34"/>
      <c r="B11" s="86" t="s">
        <v>120</v>
      </c>
      <c r="C11" s="81"/>
      <c r="D11" s="82"/>
      <c r="E11" s="9">
        <f>'Fane 4. Ikke-påvirkelige omk.'!G21</f>
        <v>385398.77862199978</v>
      </c>
      <c r="F11" s="6" t="s">
        <v>4</v>
      </c>
      <c r="G11" s="10"/>
      <c r="H11" s="11"/>
      <c r="I11" s="34"/>
    </row>
    <row r="12" spans="1:9" x14ac:dyDescent="0.25">
      <c r="A12" s="34"/>
      <c r="B12" s="42" t="s">
        <v>205</v>
      </c>
      <c r="C12" s="43"/>
      <c r="D12" s="44"/>
      <c r="E12" s="9">
        <f>'Fane 5. Individuelt eff.krav'!G10</f>
        <v>-863860.05402067502</v>
      </c>
      <c r="F12" s="6" t="s">
        <v>4</v>
      </c>
      <c r="G12" s="10"/>
      <c r="H12" s="11"/>
      <c r="I12" s="34"/>
    </row>
    <row r="13" spans="1:9" x14ac:dyDescent="0.25">
      <c r="A13" s="34"/>
      <c r="B13" s="77" t="s">
        <v>127</v>
      </c>
      <c r="C13" s="78"/>
      <c r="D13" s="79"/>
      <c r="E13" s="9">
        <f>'Fane 11. Tillæg'!$D$12</f>
        <v>0</v>
      </c>
      <c r="F13" s="6" t="s">
        <v>4</v>
      </c>
      <c r="G13" s="10"/>
      <c r="H13" s="11"/>
      <c r="I13" s="34"/>
    </row>
    <row r="14" spans="1:9" x14ac:dyDescent="0.25">
      <c r="A14" s="34"/>
      <c r="B14" s="77" t="s">
        <v>128</v>
      </c>
      <c r="C14" s="78"/>
      <c r="D14" s="79"/>
      <c r="E14" s="9">
        <f>'Fane 11. Tillæg'!$F$12</f>
        <v>0</v>
      </c>
      <c r="F14" s="6" t="s">
        <v>4</v>
      </c>
      <c r="G14" s="10"/>
      <c r="H14" s="11"/>
      <c r="I14" s="34"/>
    </row>
    <row r="15" spans="1:9" x14ac:dyDescent="0.25">
      <c r="A15" s="34"/>
      <c r="B15" s="77" t="s">
        <v>190</v>
      </c>
      <c r="C15" s="78"/>
      <c r="D15" s="79"/>
      <c r="E15" s="9">
        <f>'Fane 11. Tillæg'!F19</f>
        <v>0</v>
      </c>
      <c r="F15" s="6" t="s">
        <v>4</v>
      </c>
      <c r="G15" s="10"/>
      <c r="H15" s="11"/>
      <c r="I15" s="34"/>
    </row>
    <row r="16" spans="1:9" x14ac:dyDescent="0.25">
      <c r="A16" s="34"/>
      <c r="B16" s="77" t="s">
        <v>129</v>
      </c>
      <c r="C16" s="78"/>
      <c r="D16" s="79"/>
      <c r="E16" s="9">
        <f>'Fane 12. Bortfald'!$D$12</f>
        <v>0</v>
      </c>
      <c r="F16" s="6" t="s">
        <v>4</v>
      </c>
      <c r="G16" s="10"/>
      <c r="H16" s="11"/>
      <c r="I16" s="34"/>
    </row>
    <row r="17" spans="1:9" x14ac:dyDescent="0.25">
      <c r="A17" s="34"/>
      <c r="B17" s="77" t="s">
        <v>130</v>
      </c>
      <c r="C17" s="78"/>
      <c r="D17" s="79"/>
      <c r="E17" s="9">
        <f>'Fane 12. Bortfald'!$F$12</f>
        <v>0</v>
      </c>
      <c r="F17" s="6" t="s">
        <v>4</v>
      </c>
      <c r="G17" s="10"/>
      <c r="H17" s="11"/>
      <c r="I17" s="34"/>
    </row>
    <row r="18" spans="1:9" x14ac:dyDescent="0.25">
      <c r="A18" s="34"/>
      <c r="B18" s="42" t="s">
        <v>122</v>
      </c>
      <c r="C18" s="43"/>
      <c r="D18" s="44"/>
      <c r="E18" s="23">
        <v>1.75</v>
      </c>
      <c r="F18" s="6" t="s">
        <v>38</v>
      </c>
      <c r="G18" s="10"/>
      <c r="H18" s="11"/>
      <c r="I18" s="34"/>
    </row>
    <row r="19" spans="1:9" x14ac:dyDescent="0.25">
      <c r="A19" s="34"/>
      <c r="B19" s="86" t="s">
        <v>121</v>
      </c>
      <c r="C19" s="81"/>
      <c r="D19" s="82"/>
      <c r="E19" s="9">
        <f>SUM(E9,E11:E17)*(E18/100)</f>
        <v>1049620.5556462789</v>
      </c>
      <c r="F19" s="6" t="s">
        <v>4</v>
      </c>
      <c r="G19" s="10"/>
      <c r="H19" s="11"/>
      <c r="I19" s="34"/>
    </row>
    <row r="20" spans="1:9" x14ac:dyDescent="0.25">
      <c r="A20" s="34"/>
      <c r="B20" s="80" t="s">
        <v>15</v>
      </c>
      <c r="C20" s="81"/>
      <c r="D20" s="82"/>
      <c r="E20" s="9">
        <f>'Fane 5. Individuelt eff.krav'!G12</f>
        <v>0</v>
      </c>
      <c r="F20" s="6" t="s">
        <v>4</v>
      </c>
      <c r="G20" s="12"/>
      <c r="H20" s="11"/>
      <c r="I20" s="34"/>
    </row>
    <row r="21" spans="1:9" x14ac:dyDescent="0.25">
      <c r="A21" s="34"/>
      <c r="B21" s="80" t="s">
        <v>16</v>
      </c>
      <c r="C21" s="81"/>
      <c r="D21" s="82"/>
      <c r="E21" s="9">
        <f>'Fane 6. Generelt eff.krav'!G17</f>
        <v>977361.90340940189</v>
      </c>
      <c r="F21" s="6" t="s">
        <v>4</v>
      </c>
      <c r="G21" s="13"/>
      <c r="H21" s="14"/>
      <c r="I21" s="34"/>
    </row>
    <row r="22" spans="1:9" x14ac:dyDescent="0.25">
      <c r="A22" s="34"/>
      <c r="B22" s="87" t="s">
        <v>196</v>
      </c>
      <c r="C22" s="88"/>
      <c r="D22" s="89"/>
      <c r="E22" s="15">
        <f>SUM(E9,E11:E17,E19)-SUM(E20:E21)</f>
        <v>60050576.11773853</v>
      </c>
      <c r="F22" s="16" t="s">
        <v>4</v>
      </c>
      <c r="G22" s="15">
        <f>E22</f>
        <v>60050576.11773853</v>
      </c>
      <c r="H22" s="16" t="s">
        <v>4</v>
      </c>
      <c r="I22" s="34"/>
    </row>
    <row r="23" spans="1:9" x14ac:dyDescent="0.25">
      <c r="A23" s="34"/>
      <c r="B23" s="90" t="s">
        <v>208</v>
      </c>
      <c r="C23" s="91"/>
      <c r="D23" s="91"/>
      <c r="E23" s="91"/>
      <c r="F23" s="91"/>
      <c r="G23" s="91"/>
      <c r="H23" s="92"/>
      <c r="I23" s="34"/>
    </row>
    <row r="24" spans="1:9" x14ac:dyDescent="0.25">
      <c r="A24" s="34"/>
      <c r="B24" s="83" t="s">
        <v>208</v>
      </c>
      <c r="C24" s="84"/>
      <c r="D24" s="85"/>
      <c r="E24" s="15">
        <v>2530378</v>
      </c>
      <c r="F24" s="16" t="s">
        <v>4</v>
      </c>
      <c r="G24" s="15">
        <f>E24</f>
        <v>2530378</v>
      </c>
      <c r="H24" s="16" t="s">
        <v>4</v>
      </c>
      <c r="I24" s="34"/>
    </row>
    <row r="25" spans="1:9" x14ac:dyDescent="0.25">
      <c r="A25" s="34"/>
      <c r="B25" s="90" t="s">
        <v>97</v>
      </c>
      <c r="C25" s="91"/>
      <c r="D25" s="91"/>
      <c r="E25" s="91"/>
      <c r="F25" s="91"/>
      <c r="G25" s="91"/>
      <c r="H25" s="92"/>
      <c r="I25" s="34"/>
    </row>
    <row r="26" spans="1:9" x14ac:dyDescent="0.25">
      <c r="A26" s="34"/>
      <c r="B26" s="77" t="s">
        <v>104</v>
      </c>
      <c r="C26" s="78"/>
      <c r="D26" s="79"/>
      <c r="E26" s="9">
        <f>'Fane 9. Korrektion af PL2016'!G11</f>
        <v>-1127486</v>
      </c>
      <c r="F26" s="6" t="s">
        <v>4</v>
      </c>
      <c r="G26" s="17"/>
      <c r="H26" s="8"/>
      <c r="I26" s="34"/>
    </row>
    <row r="27" spans="1:9" x14ac:dyDescent="0.25">
      <c r="A27" s="34"/>
      <c r="B27" s="77" t="s">
        <v>98</v>
      </c>
      <c r="C27" s="78"/>
      <c r="D27" s="79"/>
      <c r="E27" s="9">
        <f>'Fane 9. Korrektion af PL2016'!G17</f>
        <v>-125434</v>
      </c>
      <c r="F27" s="6" t="s">
        <v>4</v>
      </c>
      <c r="G27" s="12"/>
      <c r="H27" s="11"/>
      <c r="I27" s="34"/>
    </row>
    <row r="28" spans="1:9" ht="30" customHeight="1" x14ac:dyDescent="0.25">
      <c r="A28" s="34"/>
      <c r="B28" s="77" t="s">
        <v>99</v>
      </c>
      <c r="C28" s="78"/>
      <c r="D28" s="79"/>
      <c r="E28" s="9">
        <f>'Fane 9. Korrektion af PL2016'!G23</f>
        <v>-187319</v>
      </c>
      <c r="F28" s="6" t="s">
        <v>4</v>
      </c>
      <c r="G28" s="10"/>
      <c r="H28" s="11"/>
      <c r="I28" s="34"/>
    </row>
    <row r="29" spans="1:9" ht="30" customHeight="1" x14ac:dyDescent="0.25">
      <c r="A29" s="34"/>
      <c r="B29" s="77" t="s">
        <v>100</v>
      </c>
      <c r="C29" s="78"/>
      <c r="D29" s="79"/>
      <c r="E29" s="9">
        <f>'Fane 9. Korrektion af PL2016'!G29</f>
        <v>-591009</v>
      </c>
      <c r="F29" s="6" t="s">
        <v>4</v>
      </c>
      <c r="G29" s="12"/>
      <c r="H29" s="11"/>
      <c r="I29" s="34"/>
    </row>
    <row r="30" spans="1:9" ht="28.5" customHeight="1" x14ac:dyDescent="0.25">
      <c r="A30" s="34"/>
      <c r="B30" s="77" t="s">
        <v>101</v>
      </c>
      <c r="C30" s="78"/>
      <c r="D30" s="79"/>
      <c r="E30" s="9">
        <f>'Fane 9. Korrektion af PL2016'!G35</f>
        <v>890191.35333333327</v>
      </c>
      <c r="F30" s="6" t="s">
        <v>4</v>
      </c>
      <c r="G30" s="12"/>
      <c r="H30" s="11"/>
      <c r="I30" s="34"/>
    </row>
    <row r="31" spans="1:9" x14ac:dyDescent="0.25">
      <c r="A31" s="34"/>
      <c r="B31" s="83" t="s">
        <v>102</v>
      </c>
      <c r="C31" s="84"/>
      <c r="D31" s="85"/>
      <c r="E31" s="15">
        <f>SUM(E26:E30)</f>
        <v>-1141056.6466666667</v>
      </c>
      <c r="F31" s="16" t="s">
        <v>4</v>
      </c>
      <c r="G31" s="15">
        <f>E31</f>
        <v>-1141056.6466666667</v>
      </c>
      <c r="H31" s="16" t="s">
        <v>4</v>
      </c>
      <c r="I31" s="34"/>
    </row>
    <row r="32" spans="1:9" x14ac:dyDescent="0.25">
      <c r="A32" s="34"/>
      <c r="B32" s="90" t="s">
        <v>18</v>
      </c>
      <c r="C32" s="91"/>
      <c r="D32" s="91"/>
      <c r="E32" s="91"/>
      <c r="F32" s="91"/>
      <c r="G32" s="91"/>
      <c r="H32" s="92"/>
      <c r="I32" s="34"/>
    </row>
    <row r="33" spans="1:9" x14ac:dyDescent="0.25">
      <c r="A33" s="34"/>
      <c r="B33" s="83" t="s">
        <v>103</v>
      </c>
      <c r="C33" s="84"/>
      <c r="D33" s="85"/>
      <c r="E33" s="15">
        <f>'Fane 10. Kontrol af PL2016'!G36</f>
        <v>-2797452.591981113</v>
      </c>
      <c r="F33" s="16" t="s">
        <v>4</v>
      </c>
      <c r="G33" s="15">
        <f>E33</f>
        <v>-2797452.591981113</v>
      </c>
      <c r="H33" s="16" t="s">
        <v>4</v>
      </c>
      <c r="I33" s="34"/>
    </row>
    <row r="34" spans="1:9" x14ac:dyDescent="0.25">
      <c r="A34" s="34"/>
      <c r="B34" s="90" t="s">
        <v>61</v>
      </c>
      <c r="C34" s="91"/>
      <c r="D34" s="91"/>
      <c r="E34" s="91"/>
      <c r="F34" s="92"/>
      <c r="G34" s="18">
        <f>G22+G24+G31+G33</f>
        <v>58642444.879090749</v>
      </c>
      <c r="H34" s="19" t="s">
        <v>4</v>
      </c>
      <c r="I34" s="34"/>
    </row>
    <row r="35" spans="1:9" x14ac:dyDescent="0.25">
      <c r="A35" s="34"/>
      <c r="B35" s="34"/>
      <c r="C35" s="34"/>
      <c r="D35" s="34"/>
      <c r="E35" s="34"/>
      <c r="F35" s="34"/>
      <c r="G35" s="34"/>
      <c r="H35" s="34"/>
      <c r="I35" s="34"/>
    </row>
    <row r="36" spans="1:9" x14ac:dyDescent="0.25">
      <c r="A36" s="34"/>
      <c r="B36" s="34"/>
      <c r="C36" s="34"/>
      <c r="D36" s="34"/>
      <c r="E36" s="34"/>
      <c r="F36" s="34"/>
      <c r="G36" s="34"/>
      <c r="H36" s="34"/>
      <c r="I36" s="34"/>
    </row>
    <row r="37" spans="1:9" x14ac:dyDescent="0.25">
      <c r="A37" s="34"/>
      <c r="B37" s="34"/>
      <c r="C37" s="34"/>
      <c r="D37" s="34"/>
      <c r="E37" s="34"/>
      <c r="F37" s="34"/>
      <c r="G37" s="34"/>
      <c r="H37" s="34"/>
      <c r="I37" s="34"/>
    </row>
    <row r="38" spans="1:9" x14ac:dyDescent="0.25">
      <c r="A38" s="34"/>
      <c r="B38" s="34"/>
      <c r="C38" s="34"/>
      <c r="D38" s="34"/>
      <c r="E38" s="34"/>
      <c r="F38" s="34"/>
      <c r="G38" s="34"/>
      <c r="H38" s="34"/>
      <c r="I38" s="34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5" customWidth="1"/>
    <col min="2" max="3" width="9.140625" style="35"/>
    <col min="4" max="4" width="27" style="35" customWidth="1"/>
    <col min="5" max="5" width="10.28515625" style="35" customWidth="1"/>
    <col min="6" max="6" width="3.28515625" style="35" customWidth="1"/>
    <col min="7" max="7" width="11.28515625" style="35" customWidth="1"/>
    <col min="8" max="8" width="3.28515625" style="35" customWidth="1"/>
    <col min="9" max="9" width="5.140625" style="35" customWidth="1"/>
    <col min="10" max="16384" width="9.140625" style="35"/>
  </cols>
  <sheetData>
    <row r="1" spans="1:9" x14ac:dyDescent="0.25">
      <c r="A1" s="34"/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ht="15" customHeight="1" x14ac:dyDescent="0.25">
      <c r="A3" s="34"/>
      <c r="B3" s="76" t="s">
        <v>107</v>
      </c>
      <c r="C3" s="76"/>
      <c r="D3" s="76"/>
      <c r="E3" s="76"/>
      <c r="F3" s="76"/>
      <c r="G3" s="76"/>
      <c r="H3" s="76"/>
      <c r="I3" s="34"/>
    </row>
    <row r="4" spans="1:9" ht="15" customHeight="1" x14ac:dyDescent="0.25">
      <c r="A4" s="34"/>
      <c r="B4" s="76"/>
      <c r="C4" s="76"/>
      <c r="D4" s="76"/>
      <c r="E4" s="76"/>
      <c r="F4" s="76"/>
      <c r="G4" s="76"/>
      <c r="H4" s="76"/>
      <c r="I4" s="34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x14ac:dyDescent="0.25">
      <c r="A7" s="34"/>
      <c r="B7" s="34"/>
      <c r="C7" s="34"/>
      <c r="D7" s="34"/>
      <c r="E7" s="34"/>
      <c r="F7" s="34"/>
      <c r="G7" s="34"/>
      <c r="H7" s="34"/>
      <c r="I7" s="34"/>
    </row>
    <row r="8" spans="1:9" x14ac:dyDescent="0.25">
      <c r="A8" s="34"/>
      <c r="B8" s="90" t="s">
        <v>55</v>
      </c>
      <c r="C8" s="91"/>
      <c r="D8" s="91"/>
      <c r="E8" s="91"/>
      <c r="F8" s="91"/>
      <c r="G8" s="91"/>
      <c r="H8" s="92"/>
      <c r="I8" s="34"/>
    </row>
    <row r="9" spans="1:9" x14ac:dyDescent="0.25">
      <c r="A9" s="34"/>
      <c r="B9" s="77" t="s">
        <v>105</v>
      </c>
      <c r="C9" s="78"/>
      <c r="D9" s="79"/>
      <c r="E9" s="5">
        <f>'Fane 2.1. Økonomisk ramme 2018'!G22</f>
        <v>60050576.11773853</v>
      </c>
      <c r="F9" s="6" t="s">
        <v>4</v>
      </c>
      <c r="G9" s="7"/>
      <c r="H9" s="8"/>
      <c r="I9" s="34"/>
    </row>
    <row r="10" spans="1:9" x14ac:dyDescent="0.25">
      <c r="A10" s="34"/>
      <c r="B10" s="86" t="s">
        <v>46</v>
      </c>
      <c r="C10" s="93"/>
      <c r="D10" s="94"/>
      <c r="E10" s="9">
        <f>(SUM('Fane 2.1. Økonomisk ramme 2018'!E10:E11,'Fane 2.1. Økonomisk ramme 2018'!E15))*(1+'Fane 2.1. Økonomisk ramme 2018'!E18/100)</f>
        <v>8662581.039321145</v>
      </c>
      <c r="F10" s="6" t="s">
        <v>4</v>
      </c>
      <c r="G10" s="10"/>
      <c r="H10" s="11"/>
      <c r="I10" s="34"/>
    </row>
    <row r="11" spans="1:9" x14ac:dyDescent="0.25">
      <c r="A11" s="34"/>
      <c r="B11" s="80" t="s">
        <v>60</v>
      </c>
      <c r="C11" s="81"/>
      <c r="D11" s="82"/>
      <c r="E11" s="9">
        <f>$E$9*'Fane 2.1. Økonomisk ramme 2018'!E18/100</f>
        <v>1050885.0820604241</v>
      </c>
      <c r="F11" s="6" t="s">
        <v>4</v>
      </c>
      <c r="G11" s="12"/>
      <c r="H11" s="11"/>
      <c r="I11" s="34"/>
    </row>
    <row r="12" spans="1:9" x14ac:dyDescent="0.25">
      <c r="A12" s="34"/>
      <c r="B12" s="80" t="s">
        <v>15</v>
      </c>
      <c r="C12" s="81"/>
      <c r="D12" s="82"/>
      <c r="E12" s="9">
        <f>($E$9-$E$10)*(1+'Fane 2.1. Økonomisk ramme 2018'!E18/100)*'Fane 5. Individuelt eff.krav'!$G$11/100</f>
        <v>0</v>
      </c>
      <c r="F12" s="6" t="s">
        <v>4</v>
      </c>
      <c r="G12" s="12"/>
      <c r="H12" s="11"/>
      <c r="I12" s="34"/>
    </row>
    <row r="13" spans="1:9" x14ac:dyDescent="0.25">
      <c r="A13" s="34"/>
      <c r="B13" s="45" t="s">
        <v>16</v>
      </c>
      <c r="C13" s="43"/>
      <c r="D13" s="44"/>
      <c r="E13" s="9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975898.99057876947</v>
      </c>
      <c r="F13" s="6" t="s">
        <v>4</v>
      </c>
      <c r="G13" s="13"/>
      <c r="H13" s="14"/>
      <c r="I13" s="34"/>
    </row>
    <row r="14" spans="1:9" x14ac:dyDescent="0.25">
      <c r="A14" s="34"/>
      <c r="B14" s="87" t="s">
        <v>196</v>
      </c>
      <c r="C14" s="88"/>
      <c r="D14" s="89"/>
      <c r="E14" s="15">
        <f>$E$9+$E$11-$E$12-$E$13</f>
        <v>60125562.209220186</v>
      </c>
      <c r="F14" s="16" t="s">
        <v>4</v>
      </c>
      <c r="G14" s="15">
        <f>E14</f>
        <v>60125562.209220186</v>
      </c>
      <c r="H14" s="16" t="s">
        <v>4</v>
      </c>
      <c r="I14" s="34"/>
    </row>
    <row r="15" spans="1:9" x14ac:dyDescent="0.25">
      <c r="A15" s="34"/>
      <c r="B15" s="90" t="s">
        <v>208</v>
      </c>
      <c r="C15" s="91"/>
      <c r="D15" s="91"/>
      <c r="E15" s="91"/>
      <c r="F15" s="91"/>
      <c r="G15" s="91"/>
      <c r="H15" s="92"/>
      <c r="I15" s="34"/>
    </row>
    <row r="16" spans="1:9" ht="15" customHeight="1" x14ac:dyDescent="0.25">
      <c r="A16" s="34"/>
      <c r="B16" s="83" t="s">
        <v>208</v>
      </c>
      <c r="C16" s="84"/>
      <c r="D16" s="85"/>
      <c r="E16" s="15">
        <v>2530378</v>
      </c>
      <c r="F16" s="16" t="s">
        <v>4</v>
      </c>
      <c r="G16" s="15">
        <f>E16</f>
        <v>2530378</v>
      </c>
      <c r="H16" s="16" t="s">
        <v>4</v>
      </c>
      <c r="I16" s="34"/>
    </row>
    <row r="17" spans="1:9" x14ac:dyDescent="0.25">
      <c r="A17" s="34"/>
      <c r="B17" s="90" t="s">
        <v>106</v>
      </c>
      <c r="C17" s="91"/>
      <c r="D17" s="91"/>
      <c r="E17" s="91"/>
      <c r="F17" s="92"/>
      <c r="G17" s="18">
        <f>G14+G16</f>
        <v>62655940.209220186</v>
      </c>
      <c r="H17" s="19" t="s">
        <v>4</v>
      </c>
      <c r="I17" s="34"/>
    </row>
    <row r="18" spans="1:9" x14ac:dyDescent="0.25">
      <c r="A18" s="34"/>
      <c r="B18" s="34"/>
      <c r="C18" s="34"/>
      <c r="D18" s="34"/>
      <c r="E18" s="34"/>
      <c r="F18" s="34"/>
      <c r="G18" s="34"/>
      <c r="H18" s="34"/>
      <c r="I18" s="34"/>
    </row>
    <row r="19" spans="1:9" x14ac:dyDescent="0.25">
      <c r="A19" s="34"/>
      <c r="B19" s="34"/>
      <c r="C19" s="34"/>
      <c r="D19" s="34"/>
      <c r="E19" s="34"/>
      <c r="F19" s="34"/>
      <c r="G19" s="34"/>
      <c r="H19" s="34"/>
      <c r="I19" s="34"/>
    </row>
    <row r="20" spans="1:9" x14ac:dyDescent="0.25">
      <c r="A20" s="34"/>
      <c r="B20" s="34"/>
      <c r="C20" s="34"/>
      <c r="D20" s="34"/>
      <c r="E20" s="34"/>
      <c r="F20" s="34"/>
      <c r="G20" s="34"/>
      <c r="H20" s="34"/>
      <c r="I20" s="34"/>
    </row>
    <row r="21" spans="1:9" x14ac:dyDescent="0.25">
      <c r="A21" s="34"/>
      <c r="B21" s="34"/>
      <c r="C21" s="34"/>
      <c r="D21" s="34"/>
      <c r="E21" s="34"/>
      <c r="F21" s="34"/>
      <c r="G21" s="34"/>
      <c r="H21" s="34"/>
      <c r="I21" s="34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19"/>
  <sheetViews>
    <sheetView showGridLines="0" view="pageLayout" zoomScaleNormal="100" workbookViewId="0"/>
  </sheetViews>
  <sheetFormatPr defaultRowHeight="15" x14ac:dyDescent="0.25"/>
  <cols>
    <col min="1" max="1" width="5.140625" style="35" customWidth="1"/>
    <col min="2" max="3" width="9.140625" style="35"/>
    <col min="4" max="4" width="27" style="35" customWidth="1"/>
    <col min="5" max="5" width="10.28515625" style="35" customWidth="1"/>
    <col min="6" max="6" width="3.28515625" style="35" customWidth="1"/>
    <col min="7" max="7" width="11.28515625" style="35" customWidth="1"/>
    <col min="8" max="8" width="3.28515625" style="35" customWidth="1"/>
    <col min="9" max="9" width="5.140625" style="35" customWidth="1"/>
    <col min="10" max="16384" width="9.140625" style="35"/>
  </cols>
  <sheetData>
    <row r="1" spans="1:9" x14ac:dyDescent="0.25">
      <c r="A1" s="34"/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ht="15" customHeight="1" x14ac:dyDescent="0.25">
      <c r="A3" s="34"/>
      <c r="B3" s="76" t="s">
        <v>209</v>
      </c>
      <c r="C3" s="76"/>
      <c r="D3" s="76"/>
      <c r="E3" s="76"/>
      <c r="F3" s="76"/>
      <c r="G3" s="76"/>
      <c r="H3" s="76"/>
      <c r="I3" s="34"/>
    </row>
    <row r="4" spans="1:9" ht="15" customHeight="1" x14ac:dyDescent="0.25">
      <c r="A4" s="34"/>
      <c r="B4" s="76"/>
      <c r="C4" s="76"/>
      <c r="D4" s="76"/>
      <c r="E4" s="76"/>
      <c r="F4" s="76"/>
      <c r="G4" s="76"/>
      <c r="H4" s="76"/>
      <c r="I4" s="34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x14ac:dyDescent="0.25">
      <c r="A7" s="34"/>
      <c r="B7" s="34"/>
      <c r="C7" s="34"/>
      <c r="D7" s="34"/>
      <c r="E7" s="34"/>
      <c r="F7" s="34"/>
      <c r="G7" s="34"/>
      <c r="H7" s="34"/>
      <c r="I7" s="34"/>
    </row>
    <row r="8" spans="1:9" x14ac:dyDescent="0.25">
      <c r="A8" s="34"/>
      <c r="B8" s="90" t="s">
        <v>55</v>
      </c>
      <c r="C8" s="91"/>
      <c r="D8" s="91"/>
      <c r="E8" s="91"/>
      <c r="F8" s="91"/>
      <c r="G8" s="91"/>
      <c r="H8" s="92"/>
      <c r="I8" s="34"/>
    </row>
    <row r="9" spans="1:9" x14ac:dyDescent="0.25">
      <c r="A9" s="34"/>
      <c r="B9" s="77" t="s">
        <v>210</v>
      </c>
      <c r="C9" s="78"/>
      <c r="D9" s="79"/>
      <c r="E9" s="5">
        <f>'Fane 2.2. Økonomisk ramme 2019'!G14</f>
        <v>60125562.209220186</v>
      </c>
      <c r="F9" s="6" t="s">
        <v>4</v>
      </c>
      <c r="G9" s="7"/>
      <c r="H9" s="8"/>
      <c r="I9" s="34"/>
    </row>
    <row r="10" spans="1:9" x14ac:dyDescent="0.25">
      <c r="A10" s="34"/>
      <c r="B10" s="86" t="s">
        <v>46</v>
      </c>
      <c r="C10" s="93"/>
      <c r="D10" s="94"/>
      <c r="E10" s="9">
        <f>(SUM('Fane 2.1. Økonomisk ramme 2018'!E10:E11,'Fane 2.1. Økonomisk ramme 2018'!E15))*(1+'Fane 2.1. Økonomisk ramme 2018'!E18/100)^2</f>
        <v>8814176.2075092643</v>
      </c>
      <c r="F10" s="6" t="s">
        <v>4</v>
      </c>
      <c r="G10" s="10"/>
      <c r="H10" s="11"/>
      <c r="I10" s="34"/>
    </row>
    <row r="11" spans="1:9" x14ac:dyDescent="0.25">
      <c r="A11" s="34"/>
      <c r="B11" s="80" t="s">
        <v>60</v>
      </c>
      <c r="C11" s="81"/>
      <c r="D11" s="82"/>
      <c r="E11" s="9">
        <f>$E$9*'Fane 2.1. Økonomisk ramme 2018'!E18/100</f>
        <v>1052197.3386613533</v>
      </c>
      <c r="F11" s="6" t="s">
        <v>4</v>
      </c>
      <c r="G11" s="12"/>
      <c r="H11" s="11"/>
      <c r="I11" s="34"/>
    </row>
    <row r="12" spans="1:9" x14ac:dyDescent="0.25">
      <c r="A12" s="34"/>
      <c r="B12" s="80" t="s">
        <v>15</v>
      </c>
      <c r="C12" s="81"/>
      <c r="D12" s="82"/>
      <c r="E12" s="9">
        <f>($E$9-$E$10)*(1+'Fane 2.1. Økonomisk ramme 2018'!E18/100)*'Fane 5. Individuelt eff.krav'!$G$11/100</f>
        <v>0</v>
      </c>
      <c r="F12" s="6" t="s">
        <v>4</v>
      </c>
      <c r="G12" s="12"/>
      <c r="H12" s="11"/>
      <c r="I12" s="34"/>
    </row>
    <row r="13" spans="1:9" x14ac:dyDescent="0.25">
      <c r="A13" s="34"/>
      <c r="B13" s="45" t="s">
        <v>16</v>
      </c>
      <c r="C13" s="43"/>
      <c r="D13" s="44"/>
      <c r="E13" s="9">
        <f>(('Fane 6. Generelt eff.krav'!G12/('Fane 6. Generelt eff.krav'!G11/100)-'Fane 6. Generelt eff.krav'!G12))*(1+'Fane 2.1. Økonomisk ramme 2018'!E18/100)^2*(1-'Fane 6. Generelt eff.krav'!G11/100)*'Fane 6. Generelt eff.krav'!G11/100+(('Fane 6. Generelt eff.krav'!G16/('Fane 6. Generelt eff.krav'!G15/100))-'Fane 6. Generelt eff.krav'!G16)*(1+'Fane 2.1. Økonomisk ramme 2018'!E18/100)^2*(1-'Fane 6. Generelt eff.krav'!G15/100)*'Fane 6. Generelt eff.krav'!G15/100</f>
        <v>974439.57287036348</v>
      </c>
      <c r="F13" s="6" t="s">
        <v>4</v>
      </c>
      <c r="G13" s="13"/>
      <c r="H13" s="14"/>
      <c r="I13" s="34"/>
    </row>
    <row r="14" spans="1:9" x14ac:dyDescent="0.25">
      <c r="A14" s="34"/>
      <c r="B14" s="87" t="s">
        <v>196</v>
      </c>
      <c r="C14" s="88"/>
      <c r="D14" s="89"/>
      <c r="E14" s="15">
        <f>$E$9+$E$11-$E$12-$E$13</f>
        <v>60203319.97501117</v>
      </c>
      <c r="F14" s="16" t="s">
        <v>4</v>
      </c>
      <c r="G14" s="15">
        <f>E14</f>
        <v>60203319.97501117</v>
      </c>
      <c r="H14" s="16" t="s">
        <v>4</v>
      </c>
      <c r="I14" s="34"/>
    </row>
    <row r="15" spans="1:9" x14ac:dyDescent="0.25">
      <c r="A15" s="34"/>
      <c r="B15" s="90" t="s">
        <v>211</v>
      </c>
      <c r="C15" s="91"/>
      <c r="D15" s="91"/>
      <c r="E15" s="91"/>
      <c r="F15" s="92"/>
      <c r="G15" s="18">
        <f>G14</f>
        <v>60203319.97501117</v>
      </c>
      <c r="H15" s="19" t="s">
        <v>4</v>
      </c>
      <c r="I15" s="34"/>
    </row>
    <row r="16" spans="1:9" x14ac:dyDescent="0.25">
      <c r="A16" s="34"/>
      <c r="B16" s="34"/>
      <c r="C16" s="34"/>
      <c r="D16" s="34"/>
      <c r="E16" s="34"/>
      <c r="F16" s="34"/>
      <c r="G16" s="34"/>
      <c r="H16" s="34"/>
      <c r="I16" s="34"/>
    </row>
    <row r="17" spans="1:9" x14ac:dyDescent="0.25">
      <c r="A17" s="34"/>
      <c r="B17" s="34"/>
      <c r="C17" s="34"/>
      <c r="D17" s="34"/>
      <c r="E17" s="34"/>
      <c r="F17" s="34"/>
      <c r="G17" s="34"/>
      <c r="H17" s="34"/>
      <c r="I17" s="34"/>
    </row>
    <row r="18" spans="1:9" x14ac:dyDescent="0.25">
      <c r="A18" s="34"/>
      <c r="B18" s="34"/>
      <c r="C18" s="34"/>
      <c r="D18" s="34"/>
      <c r="E18" s="34"/>
      <c r="F18" s="34"/>
      <c r="G18" s="34"/>
      <c r="H18" s="34"/>
      <c r="I18" s="34"/>
    </row>
    <row r="19" spans="1:9" x14ac:dyDescent="0.25">
      <c r="A19" s="34"/>
      <c r="B19" s="34"/>
      <c r="C19" s="34"/>
      <c r="D19" s="34"/>
      <c r="E19" s="34"/>
      <c r="F19" s="34"/>
      <c r="G19" s="34"/>
      <c r="H19" s="34"/>
      <c r="I19" s="34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19"/>
  <sheetViews>
    <sheetView showGridLines="0" view="pageLayout" zoomScaleNormal="100" workbookViewId="0"/>
  </sheetViews>
  <sheetFormatPr defaultRowHeight="15" x14ac:dyDescent="0.25"/>
  <cols>
    <col min="1" max="1" width="5.140625" style="35" customWidth="1"/>
    <col min="2" max="3" width="9.140625" style="35"/>
    <col min="4" max="4" width="27" style="35" customWidth="1"/>
    <col min="5" max="5" width="10.28515625" style="35" customWidth="1"/>
    <col min="6" max="6" width="3.28515625" style="35" customWidth="1"/>
    <col min="7" max="7" width="11.28515625" style="35" customWidth="1"/>
    <col min="8" max="8" width="3.28515625" style="35" customWidth="1"/>
    <col min="9" max="9" width="5.140625" style="35" customWidth="1"/>
    <col min="10" max="16384" width="9.140625" style="35"/>
  </cols>
  <sheetData>
    <row r="1" spans="1:9" x14ac:dyDescent="0.25">
      <c r="A1" s="34"/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ht="15" customHeight="1" x14ac:dyDescent="0.25">
      <c r="A3" s="34"/>
      <c r="B3" s="76" t="s">
        <v>213</v>
      </c>
      <c r="C3" s="76"/>
      <c r="D3" s="76"/>
      <c r="E3" s="76"/>
      <c r="F3" s="76"/>
      <c r="G3" s="76"/>
      <c r="H3" s="76"/>
      <c r="I3" s="34"/>
    </row>
    <row r="4" spans="1:9" ht="15" customHeight="1" x14ac:dyDescent="0.25">
      <c r="A4" s="34"/>
      <c r="B4" s="76"/>
      <c r="C4" s="76"/>
      <c r="D4" s="76"/>
      <c r="E4" s="76"/>
      <c r="F4" s="76"/>
      <c r="G4" s="76"/>
      <c r="H4" s="76"/>
      <c r="I4" s="34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x14ac:dyDescent="0.25">
      <c r="A7" s="34"/>
      <c r="B7" s="34"/>
      <c r="C7" s="34"/>
      <c r="D7" s="34"/>
      <c r="E7" s="34"/>
      <c r="F7" s="34"/>
      <c r="G7" s="34"/>
      <c r="H7" s="34"/>
      <c r="I7" s="34"/>
    </row>
    <row r="8" spans="1:9" x14ac:dyDescent="0.25">
      <c r="A8" s="34"/>
      <c r="B8" s="90" t="s">
        <v>55</v>
      </c>
      <c r="C8" s="91"/>
      <c r="D8" s="91"/>
      <c r="E8" s="91"/>
      <c r="F8" s="91"/>
      <c r="G8" s="91"/>
      <c r="H8" s="92"/>
      <c r="I8" s="34"/>
    </row>
    <row r="9" spans="1:9" x14ac:dyDescent="0.25">
      <c r="A9" s="34"/>
      <c r="B9" s="77" t="s">
        <v>212</v>
      </c>
      <c r="C9" s="78"/>
      <c r="D9" s="79"/>
      <c r="E9" s="5">
        <f>'Fane 2.3. Økonomisk ramme 2020'!G14</f>
        <v>60203319.97501117</v>
      </c>
      <c r="F9" s="6" t="s">
        <v>4</v>
      </c>
      <c r="G9" s="7"/>
      <c r="H9" s="8"/>
      <c r="I9" s="34"/>
    </row>
    <row r="10" spans="1:9" x14ac:dyDescent="0.25">
      <c r="A10" s="34"/>
      <c r="B10" s="86" t="s">
        <v>46</v>
      </c>
      <c r="C10" s="93"/>
      <c r="D10" s="94"/>
      <c r="E10" s="9">
        <f>(SUM('Fane 2.1. Økonomisk ramme 2018'!E10:E11,'Fane 2.1. Økonomisk ramme 2018'!E15))*(1+'Fane 2.1. Økonomisk ramme 2018'!E18/100)^3</f>
        <v>8968424.2911406774</v>
      </c>
      <c r="F10" s="6" t="s">
        <v>4</v>
      </c>
      <c r="G10" s="10"/>
      <c r="H10" s="11"/>
      <c r="I10" s="34"/>
    </row>
    <row r="11" spans="1:9" x14ac:dyDescent="0.25">
      <c r="A11" s="34"/>
      <c r="B11" s="80" t="s">
        <v>60</v>
      </c>
      <c r="C11" s="81"/>
      <c r="D11" s="82"/>
      <c r="E11" s="9">
        <f>$E$9*'Fane 2.1. Økonomisk ramme 2018'!E18/100</f>
        <v>1053558.0995626955</v>
      </c>
      <c r="F11" s="6" t="s">
        <v>4</v>
      </c>
      <c r="G11" s="12"/>
      <c r="H11" s="11"/>
      <c r="I11" s="34"/>
    </row>
    <row r="12" spans="1:9" x14ac:dyDescent="0.25">
      <c r="A12" s="34"/>
      <c r="B12" s="80" t="s">
        <v>15</v>
      </c>
      <c r="C12" s="81"/>
      <c r="D12" s="82"/>
      <c r="E12" s="9">
        <f>($E$9-$E$10)*(1+'Fane 2.1. Økonomisk ramme 2018'!E18/100)*'Fane 5. Individuelt eff.krav'!$G$11/100</f>
        <v>0</v>
      </c>
      <c r="F12" s="6" t="s">
        <v>4</v>
      </c>
      <c r="G12" s="12"/>
      <c r="H12" s="11"/>
      <c r="I12" s="34"/>
    </row>
    <row r="13" spans="1:9" x14ac:dyDescent="0.25">
      <c r="A13" s="34"/>
      <c r="B13" s="45" t="s">
        <v>16</v>
      </c>
      <c r="C13" s="43"/>
      <c r="D13" s="44"/>
      <c r="E13" s="9">
        <f>(('Fane 6. Generelt eff.krav'!G12/('Fane 6. Generelt eff.krav'!G11/100)-'Fane 6. Generelt eff.krav'!G12))*(1+'Fane 2.1. Økonomisk ramme 2018'!E18/100)^3*(1-'Fane 6. Generelt eff.krav'!G11/100)^2*'Fane 6. Generelt eff.krav'!G11/100+(('Fane 6. Generelt eff.krav'!G16/('Fane 6. Generelt eff.krav'!G15/100))-'Fane 6. Generelt eff.krav'!G16)*(1+'Fane 2.1. Økonomisk ramme 2018'!E18/100)^3*(1-'Fane 6. Generelt eff.krav'!G15/100)^2*'Fane 6. Generelt eff.krav'!G15/100</f>
        <v>972983.6406667484</v>
      </c>
      <c r="F13" s="6" t="s">
        <v>4</v>
      </c>
      <c r="G13" s="13"/>
      <c r="H13" s="14"/>
      <c r="I13" s="34"/>
    </row>
    <row r="14" spans="1:9" x14ac:dyDescent="0.25">
      <c r="A14" s="34"/>
      <c r="B14" s="87" t="s">
        <v>196</v>
      </c>
      <c r="C14" s="88"/>
      <c r="D14" s="89"/>
      <c r="E14" s="15">
        <f>$E$9+$E$11-$E$12-$E$13</f>
        <v>60283894.433907121</v>
      </c>
      <c r="F14" s="16" t="s">
        <v>4</v>
      </c>
      <c r="G14" s="15">
        <f>E14</f>
        <v>60283894.433907121</v>
      </c>
      <c r="H14" s="16" t="s">
        <v>4</v>
      </c>
      <c r="I14" s="34"/>
    </row>
    <row r="15" spans="1:9" x14ac:dyDescent="0.25">
      <c r="A15" s="34"/>
      <c r="B15" s="90" t="s">
        <v>214</v>
      </c>
      <c r="C15" s="91"/>
      <c r="D15" s="91"/>
      <c r="E15" s="91"/>
      <c r="F15" s="92"/>
      <c r="G15" s="18">
        <f>G14</f>
        <v>60283894.433907121</v>
      </c>
      <c r="H15" s="19" t="s">
        <v>4</v>
      </c>
      <c r="I15" s="34"/>
    </row>
    <row r="16" spans="1:9" x14ac:dyDescent="0.25">
      <c r="A16" s="34"/>
      <c r="B16" s="34"/>
      <c r="C16" s="34"/>
      <c r="D16" s="34"/>
      <c r="E16" s="34"/>
      <c r="F16" s="34"/>
      <c r="G16" s="34"/>
      <c r="H16" s="34"/>
      <c r="I16" s="34"/>
    </row>
    <row r="17" spans="1:9" x14ac:dyDescent="0.25">
      <c r="A17" s="34"/>
      <c r="B17" s="34"/>
      <c r="C17" s="34"/>
      <c r="D17" s="34"/>
      <c r="E17" s="34"/>
      <c r="F17" s="34"/>
      <c r="G17" s="34"/>
      <c r="H17" s="34"/>
      <c r="I17" s="34"/>
    </row>
    <row r="18" spans="1:9" x14ac:dyDescent="0.25">
      <c r="A18" s="34"/>
      <c r="B18" s="34"/>
      <c r="C18" s="34"/>
      <c r="D18" s="34"/>
      <c r="E18" s="34"/>
      <c r="F18" s="34"/>
      <c r="G18" s="34"/>
      <c r="H18" s="34"/>
      <c r="I18" s="34"/>
    </row>
    <row r="19" spans="1:9" x14ac:dyDescent="0.25">
      <c r="A19" s="34"/>
      <c r="B19" s="34"/>
      <c r="C19" s="34"/>
      <c r="D19" s="34"/>
      <c r="E19" s="34"/>
      <c r="F19" s="34"/>
      <c r="G19" s="34"/>
      <c r="H19" s="34"/>
      <c r="I19" s="34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3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5" customWidth="1"/>
    <col min="2" max="3" width="9.140625" style="35"/>
    <col min="4" max="4" width="15.140625" style="35" customWidth="1"/>
    <col min="5" max="5" width="9.140625" style="35"/>
    <col min="6" max="6" width="14.42578125" style="35" customWidth="1"/>
    <col min="7" max="7" width="10.5703125" style="35" customWidth="1"/>
    <col min="8" max="8" width="3.28515625" style="35" customWidth="1"/>
    <col min="9" max="9" width="7.85546875" style="35" customWidth="1"/>
    <col min="10" max="16384" width="9.140625" style="35"/>
  </cols>
  <sheetData>
    <row r="1" spans="1:9" x14ac:dyDescent="0.25">
      <c r="A1" s="34"/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ht="15" customHeight="1" x14ac:dyDescent="0.25">
      <c r="A3" s="34"/>
      <c r="B3" s="99" t="s">
        <v>137</v>
      </c>
      <c r="C3" s="99"/>
      <c r="D3" s="99"/>
      <c r="E3" s="99"/>
      <c r="F3" s="99"/>
      <c r="G3" s="99"/>
      <c r="H3" s="99"/>
      <c r="I3" s="34"/>
    </row>
    <row r="4" spans="1:9" ht="29.25" customHeight="1" x14ac:dyDescent="0.25">
      <c r="A4" s="34"/>
      <c r="B4" s="99"/>
      <c r="C4" s="99"/>
      <c r="D4" s="99"/>
      <c r="E4" s="99"/>
      <c r="F4" s="99"/>
      <c r="G4" s="99"/>
      <c r="H4" s="99"/>
      <c r="I4" s="34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x14ac:dyDescent="0.25">
      <c r="A7" s="34"/>
      <c r="B7" s="34"/>
      <c r="C7" s="34"/>
      <c r="D7" s="34"/>
      <c r="E7" s="34"/>
      <c r="F7" s="34"/>
      <c r="G7" s="34"/>
      <c r="H7" s="34"/>
      <c r="I7" s="34"/>
    </row>
    <row r="8" spans="1:9" ht="26.25" customHeight="1" x14ac:dyDescent="0.25">
      <c r="A8" s="34"/>
      <c r="B8" s="96" t="s">
        <v>215</v>
      </c>
      <c r="C8" s="97"/>
      <c r="D8" s="97"/>
      <c r="E8" s="97"/>
      <c r="F8" s="97"/>
      <c r="G8" s="97"/>
      <c r="H8" s="98"/>
      <c r="I8" s="34"/>
    </row>
    <row r="9" spans="1:9" x14ac:dyDescent="0.25">
      <c r="A9" s="34"/>
      <c r="B9" s="80" t="s">
        <v>109</v>
      </c>
      <c r="C9" s="81"/>
      <c r="D9" s="81"/>
      <c r="E9" s="81"/>
      <c r="F9" s="82"/>
      <c r="G9" s="9">
        <v>20670010.917066451</v>
      </c>
      <c r="H9" s="20" t="s">
        <v>4</v>
      </c>
      <c r="I9" s="34"/>
    </row>
    <row r="10" spans="1:9" x14ac:dyDescent="0.25">
      <c r="A10" s="34"/>
      <c r="B10" s="80" t="s">
        <v>110</v>
      </c>
      <c r="C10" s="81"/>
      <c r="D10" s="81"/>
      <c r="E10" s="81"/>
      <c r="F10" s="82"/>
      <c r="G10" s="9">
        <v>31122544.443417918</v>
      </c>
      <c r="H10" s="20" t="s">
        <v>4</v>
      </c>
      <c r="I10" s="34"/>
    </row>
    <row r="11" spans="1:9" x14ac:dyDescent="0.25">
      <c r="A11" s="34"/>
      <c r="B11" s="80" t="s">
        <v>136</v>
      </c>
      <c r="C11" s="81"/>
      <c r="D11" s="81"/>
      <c r="E11" s="81"/>
      <c r="F11" s="82"/>
      <c r="G11" s="9">
        <v>8128194.3804159798</v>
      </c>
      <c r="H11" s="20" t="s">
        <v>4</v>
      </c>
      <c r="I11" s="34"/>
    </row>
    <row r="12" spans="1:9" x14ac:dyDescent="0.25">
      <c r="A12" s="34"/>
      <c r="B12" s="96" t="s">
        <v>140</v>
      </c>
      <c r="C12" s="97"/>
      <c r="D12" s="97"/>
      <c r="E12" s="97"/>
      <c r="F12" s="98"/>
      <c r="G12" s="18">
        <f>SUM(G9:G11)</f>
        <v>59920749.740900353</v>
      </c>
      <c r="H12" s="19" t="s">
        <v>4</v>
      </c>
      <c r="I12" s="34"/>
    </row>
    <row r="13" spans="1:9" x14ac:dyDescent="0.25">
      <c r="A13" s="34"/>
      <c r="B13" s="34"/>
      <c r="C13" s="34"/>
      <c r="D13" s="34"/>
      <c r="E13" s="34"/>
      <c r="F13" s="34"/>
      <c r="G13" s="34"/>
      <c r="H13" s="34"/>
      <c r="I13" s="34"/>
    </row>
    <row r="14" spans="1:9" ht="27" customHeight="1" x14ac:dyDescent="0.25">
      <c r="A14" s="34"/>
      <c r="B14" s="96" t="s">
        <v>217</v>
      </c>
      <c r="C14" s="97"/>
      <c r="D14" s="97"/>
      <c r="E14" s="97"/>
      <c r="F14" s="97"/>
      <c r="G14" s="97"/>
      <c r="H14" s="98"/>
      <c r="I14" s="34"/>
    </row>
    <row r="15" spans="1:9" ht="27" customHeight="1" x14ac:dyDescent="0.25">
      <c r="A15" s="34"/>
      <c r="B15" s="77" t="s">
        <v>218</v>
      </c>
      <c r="C15" s="78"/>
      <c r="D15" s="78"/>
      <c r="E15" s="78"/>
      <c r="F15" s="79"/>
      <c r="G15" s="9">
        <v>51655</v>
      </c>
      <c r="H15" s="20" t="s">
        <v>4</v>
      </c>
      <c r="I15" s="34"/>
    </row>
    <row r="16" spans="1:9" ht="27" customHeight="1" x14ac:dyDescent="0.25">
      <c r="A16" s="34"/>
      <c r="B16" s="77" t="s">
        <v>219</v>
      </c>
      <c r="C16" s="78"/>
      <c r="D16" s="78"/>
      <c r="E16" s="78"/>
      <c r="F16" s="79"/>
      <c r="G16" s="9">
        <v>54431</v>
      </c>
      <c r="H16" s="20" t="s">
        <v>221</v>
      </c>
      <c r="I16" s="34"/>
    </row>
    <row r="17" spans="1:9" ht="15" customHeight="1" x14ac:dyDescent="0.25">
      <c r="A17" s="34"/>
      <c r="B17" s="90" t="s">
        <v>220</v>
      </c>
      <c r="C17" s="91"/>
      <c r="D17" s="91"/>
      <c r="E17" s="91"/>
      <c r="F17" s="92"/>
      <c r="G17" s="18">
        <f>SUM(G15:G16)</f>
        <v>106086</v>
      </c>
      <c r="H17" s="19" t="s">
        <v>4</v>
      </c>
      <c r="I17" s="34"/>
    </row>
    <row r="18" spans="1:9" x14ac:dyDescent="0.25">
      <c r="A18" s="34"/>
      <c r="B18" s="34"/>
      <c r="C18" s="34"/>
      <c r="D18" s="34"/>
      <c r="E18" s="34"/>
      <c r="F18" s="34"/>
      <c r="G18" s="34"/>
      <c r="H18" s="34"/>
      <c r="I18" s="34"/>
    </row>
    <row r="19" spans="1:9" ht="27.75" customHeight="1" x14ac:dyDescent="0.25">
      <c r="A19" s="34"/>
      <c r="B19" s="96" t="s">
        <v>216</v>
      </c>
      <c r="C19" s="97"/>
      <c r="D19" s="97"/>
      <c r="E19" s="97"/>
      <c r="F19" s="97"/>
      <c r="G19" s="97"/>
      <c r="H19" s="98"/>
      <c r="I19" s="34"/>
    </row>
    <row r="20" spans="1:9" x14ac:dyDescent="0.25">
      <c r="A20" s="34"/>
      <c r="B20" s="80" t="s">
        <v>109</v>
      </c>
      <c r="C20" s="81"/>
      <c r="D20" s="81"/>
      <c r="E20" s="81"/>
      <c r="F20" s="82"/>
      <c r="G20" s="9">
        <v>20670010.917066451</v>
      </c>
      <c r="H20" s="20" t="s">
        <v>4</v>
      </c>
      <c r="I20" s="34"/>
    </row>
    <row r="21" spans="1:9" x14ac:dyDescent="0.25">
      <c r="A21" s="34"/>
      <c r="B21" s="80" t="s">
        <v>110</v>
      </c>
      <c r="C21" s="81"/>
      <c r="D21" s="81"/>
      <c r="E21" s="81"/>
      <c r="F21" s="82"/>
      <c r="G21" s="9">
        <f>31122544.4434179+429943+G17</f>
        <v>31658573.443417899</v>
      </c>
      <c r="H21" s="20" t="s">
        <v>4</v>
      </c>
      <c r="I21" s="34"/>
    </row>
    <row r="22" spans="1:9" x14ac:dyDescent="0.25">
      <c r="A22" s="34"/>
      <c r="B22" s="80" t="s">
        <v>136</v>
      </c>
      <c r="C22" s="81"/>
      <c r="D22" s="81"/>
      <c r="E22" s="81"/>
      <c r="F22" s="82"/>
      <c r="G22" s="9">
        <v>8128194.3804159798</v>
      </c>
      <c r="H22" s="20" t="s">
        <v>4</v>
      </c>
      <c r="I22" s="34"/>
    </row>
    <row r="23" spans="1:9" ht="17.25" customHeight="1" x14ac:dyDescent="0.25">
      <c r="A23" s="34"/>
      <c r="B23" s="96" t="s">
        <v>140</v>
      </c>
      <c r="C23" s="97"/>
      <c r="D23" s="97"/>
      <c r="E23" s="97"/>
      <c r="F23" s="98"/>
      <c r="G23" s="18">
        <f>SUM(G20:G22)</f>
        <v>60456778.740900323</v>
      </c>
      <c r="H23" s="19" t="s">
        <v>4</v>
      </c>
      <c r="I23" s="34"/>
    </row>
    <row r="24" spans="1:9" x14ac:dyDescent="0.25">
      <c r="A24" s="34"/>
      <c r="B24" s="21"/>
      <c r="C24" s="21"/>
      <c r="D24" s="21"/>
      <c r="E24" s="21"/>
      <c r="F24" s="21"/>
      <c r="G24" s="21"/>
      <c r="H24" s="21"/>
      <c r="I24" s="34"/>
    </row>
    <row r="25" spans="1:9" x14ac:dyDescent="0.25">
      <c r="A25" s="34"/>
      <c r="B25" s="22" t="s">
        <v>50</v>
      </c>
      <c r="C25" s="21"/>
      <c r="D25" s="21"/>
      <c r="E25" s="21"/>
      <c r="F25" s="21"/>
      <c r="G25" s="21"/>
      <c r="H25" s="21"/>
      <c r="I25" s="34"/>
    </row>
    <row r="26" spans="1:9" x14ac:dyDescent="0.25">
      <c r="A26" s="34"/>
      <c r="B26" s="22" t="s">
        <v>134</v>
      </c>
      <c r="C26" s="21"/>
      <c r="D26" s="21"/>
      <c r="E26" s="21"/>
      <c r="F26" s="21"/>
      <c r="G26" s="21"/>
      <c r="H26" s="21"/>
      <c r="I26" s="34"/>
    </row>
    <row r="27" spans="1:9" x14ac:dyDescent="0.25">
      <c r="A27" s="34"/>
      <c r="B27" s="22" t="s">
        <v>135</v>
      </c>
      <c r="C27" s="34"/>
      <c r="D27" s="34"/>
      <c r="E27" s="34"/>
      <c r="F27" s="34"/>
      <c r="G27" s="21"/>
      <c r="H27" s="34"/>
      <c r="I27" s="34"/>
    </row>
    <row r="28" spans="1:9" ht="28.5" customHeight="1" x14ac:dyDescent="0.25">
      <c r="A28" s="34"/>
      <c r="B28" s="95" t="s">
        <v>227</v>
      </c>
      <c r="C28" s="95"/>
      <c r="D28" s="95"/>
      <c r="E28" s="95"/>
      <c r="F28" s="95"/>
      <c r="G28" s="95"/>
      <c r="H28" s="34"/>
      <c r="I28" s="34"/>
    </row>
    <row r="29" spans="1:9" x14ac:dyDescent="0.25">
      <c r="A29" s="34"/>
      <c r="B29" s="34"/>
      <c r="C29" s="34"/>
      <c r="D29" s="34"/>
      <c r="E29" s="34"/>
      <c r="F29" s="34"/>
      <c r="G29" s="34"/>
      <c r="H29" s="34"/>
      <c r="I29" s="34"/>
    </row>
    <row r="30" spans="1:9" x14ac:dyDescent="0.25">
      <c r="A30" s="34"/>
      <c r="B30" s="34"/>
      <c r="C30" s="34"/>
      <c r="D30" s="34"/>
      <c r="E30" s="34"/>
      <c r="F30" s="34"/>
      <c r="G30" s="34"/>
      <c r="H30" s="34"/>
      <c r="I30" s="34"/>
    </row>
    <row r="31" spans="1:9" x14ac:dyDescent="0.25">
      <c r="A31" s="34"/>
      <c r="B31" s="34"/>
      <c r="C31" s="34"/>
      <c r="D31" s="34"/>
      <c r="E31" s="34"/>
      <c r="F31" s="34"/>
      <c r="G31" s="34"/>
      <c r="H31" s="34"/>
      <c r="I31" s="34"/>
    </row>
  </sheetData>
  <sheetProtection password="DFE9" sheet="1" objects="1" scenarios="1"/>
  <mergeCells count="16">
    <mergeCell ref="B17:F17"/>
    <mergeCell ref="B28:G28"/>
    <mergeCell ref="B23:F23"/>
    <mergeCell ref="B19:H19"/>
    <mergeCell ref="B3:H4"/>
    <mergeCell ref="B22:F22"/>
    <mergeCell ref="B21:F21"/>
    <mergeCell ref="B20:F20"/>
    <mergeCell ref="B8:H8"/>
    <mergeCell ref="B9:F9"/>
    <mergeCell ref="B10:F10"/>
    <mergeCell ref="B11:F11"/>
    <mergeCell ref="B12:F12"/>
    <mergeCell ref="B14:H14"/>
    <mergeCell ref="B15:F15"/>
    <mergeCell ref="B16:F1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5" customWidth="1"/>
    <col min="2" max="3" width="9.140625" style="35"/>
    <col min="4" max="4" width="21.140625" style="35" customWidth="1"/>
    <col min="5" max="5" width="12" style="35" customWidth="1"/>
    <col min="6" max="6" width="3.28515625" style="35" customWidth="1"/>
    <col min="7" max="7" width="12" style="35" customWidth="1"/>
    <col min="8" max="8" width="3.28515625" style="35" customWidth="1"/>
    <col min="9" max="9" width="7.85546875" style="35" customWidth="1"/>
    <col min="10" max="16384" width="9.140625" style="35"/>
  </cols>
  <sheetData>
    <row r="1" spans="1:9" x14ac:dyDescent="0.25">
      <c r="A1" s="34"/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ht="15" customHeight="1" x14ac:dyDescent="0.25">
      <c r="A3" s="34"/>
      <c r="B3" s="76" t="s">
        <v>111</v>
      </c>
      <c r="C3" s="76"/>
      <c r="D3" s="76"/>
      <c r="E3" s="76"/>
      <c r="F3" s="76"/>
      <c r="G3" s="76"/>
      <c r="H3" s="76"/>
      <c r="I3" s="34"/>
    </row>
    <row r="4" spans="1:9" ht="15" customHeight="1" x14ac:dyDescent="0.25">
      <c r="A4" s="34"/>
      <c r="B4" s="76"/>
      <c r="C4" s="76"/>
      <c r="D4" s="76"/>
      <c r="E4" s="76"/>
      <c r="F4" s="76"/>
      <c r="G4" s="76"/>
      <c r="H4" s="76"/>
      <c r="I4" s="34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x14ac:dyDescent="0.25">
      <c r="A7" s="34"/>
      <c r="B7" s="34"/>
      <c r="C7" s="34"/>
      <c r="D7" s="34"/>
      <c r="E7" s="34"/>
      <c r="F7" s="34"/>
      <c r="G7" s="34"/>
      <c r="H7" s="34"/>
      <c r="I7" s="34"/>
    </row>
    <row r="8" spans="1:9" x14ac:dyDescent="0.25">
      <c r="A8" s="34"/>
      <c r="B8" s="90" t="s">
        <v>112</v>
      </c>
      <c r="C8" s="91"/>
      <c r="D8" s="91"/>
      <c r="E8" s="91"/>
      <c r="F8" s="91"/>
      <c r="G8" s="91"/>
      <c r="H8" s="92"/>
      <c r="I8" s="34"/>
    </row>
    <row r="9" spans="1:9" ht="51.75" customHeight="1" x14ac:dyDescent="0.25">
      <c r="A9" s="34"/>
      <c r="B9" s="83" t="s">
        <v>114</v>
      </c>
      <c r="C9" s="84"/>
      <c r="D9" s="85"/>
      <c r="E9" s="16" t="s">
        <v>113</v>
      </c>
      <c r="F9" s="16"/>
      <c r="G9" s="16" t="s">
        <v>138</v>
      </c>
      <c r="H9" s="16"/>
      <c r="I9" s="34"/>
    </row>
    <row r="10" spans="1:9" x14ac:dyDescent="0.25">
      <c r="A10" s="34"/>
      <c r="B10" s="80" t="s">
        <v>180</v>
      </c>
      <c r="C10" s="81"/>
      <c r="D10" s="81"/>
      <c r="E10" s="37">
        <v>0</v>
      </c>
      <c r="F10" s="20" t="s">
        <v>4</v>
      </c>
      <c r="G10" s="9">
        <v>0</v>
      </c>
      <c r="H10" s="20" t="s">
        <v>4</v>
      </c>
      <c r="I10" s="34"/>
    </row>
    <row r="11" spans="1:9" x14ac:dyDescent="0.25">
      <c r="A11" s="34"/>
      <c r="B11" s="80" t="s">
        <v>181</v>
      </c>
      <c r="C11" s="81"/>
      <c r="D11" s="81"/>
      <c r="E11" s="37">
        <v>0</v>
      </c>
      <c r="F11" s="20" t="s">
        <v>4</v>
      </c>
      <c r="G11" s="9">
        <v>490776</v>
      </c>
      <c r="H11" s="20" t="s">
        <v>4</v>
      </c>
      <c r="I11" s="34"/>
    </row>
    <row r="12" spans="1:9" x14ac:dyDescent="0.25">
      <c r="A12" s="34"/>
      <c r="B12" s="80" t="s">
        <v>182</v>
      </c>
      <c r="C12" s="81"/>
      <c r="D12" s="81"/>
      <c r="E12" s="37">
        <v>0</v>
      </c>
      <c r="F12" s="20" t="s">
        <v>4</v>
      </c>
      <c r="G12" s="9">
        <v>0</v>
      </c>
      <c r="H12" s="20" t="s">
        <v>4</v>
      </c>
      <c r="I12" s="34"/>
    </row>
    <row r="13" spans="1:9" x14ac:dyDescent="0.25">
      <c r="A13" s="34"/>
      <c r="B13" s="80" t="s">
        <v>183</v>
      </c>
      <c r="C13" s="81"/>
      <c r="D13" s="81"/>
      <c r="E13" s="37">
        <v>32399.4126</v>
      </c>
      <c r="F13" s="20" t="s">
        <v>4</v>
      </c>
      <c r="G13" s="9">
        <v>49135</v>
      </c>
      <c r="H13" s="20" t="s">
        <v>4</v>
      </c>
      <c r="I13" s="34"/>
    </row>
    <row r="14" spans="1:9" x14ac:dyDescent="0.25">
      <c r="A14" s="34"/>
      <c r="B14" s="80" t="s">
        <v>184</v>
      </c>
      <c r="C14" s="81"/>
      <c r="D14" s="81"/>
      <c r="E14" s="37">
        <v>0</v>
      </c>
      <c r="F14" s="20" t="s">
        <v>4</v>
      </c>
      <c r="G14" s="9">
        <v>0</v>
      </c>
      <c r="H14" s="20" t="s">
        <v>4</v>
      </c>
      <c r="I14" s="34"/>
    </row>
    <row r="15" spans="1:9" x14ac:dyDescent="0.25">
      <c r="A15" s="34"/>
      <c r="B15" s="80" t="s">
        <v>185</v>
      </c>
      <c r="C15" s="81"/>
      <c r="D15" s="81"/>
      <c r="E15" s="37">
        <v>96364.418399999995</v>
      </c>
      <c r="F15" s="20" t="s">
        <v>4</v>
      </c>
      <c r="G15" s="9">
        <v>92647</v>
      </c>
      <c r="H15" s="20" t="s">
        <v>4</v>
      </c>
      <c r="I15" s="34"/>
    </row>
    <row r="16" spans="1:9" x14ac:dyDescent="0.25">
      <c r="A16" s="34"/>
      <c r="B16" s="80" t="s">
        <v>186</v>
      </c>
      <c r="C16" s="81"/>
      <c r="D16" s="81"/>
      <c r="E16" s="37">
        <v>7308733.8706</v>
      </c>
      <c r="F16" s="20" t="s">
        <v>4</v>
      </c>
      <c r="G16" s="9">
        <v>7306906</v>
      </c>
      <c r="H16" s="20" t="s">
        <v>4</v>
      </c>
      <c r="I16" s="34"/>
    </row>
    <row r="17" spans="1:9" x14ac:dyDescent="0.25">
      <c r="A17" s="34"/>
      <c r="B17" s="80" t="s">
        <v>187</v>
      </c>
      <c r="C17" s="81"/>
      <c r="D17" s="81"/>
      <c r="E17" s="37">
        <v>0</v>
      </c>
      <c r="F17" s="20" t="s">
        <v>4</v>
      </c>
      <c r="G17" s="9">
        <v>0</v>
      </c>
      <c r="H17" s="20" t="s">
        <v>4</v>
      </c>
      <c r="I17" s="34"/>
    </row>
    <row r="18" spans="1:9" x14ac:dyDescent="0.25">
      <c r="A18" s="34"/>
      <c r="B18" s="77" t="s">
        <v>189</v>
      </c>
      <c r="C18" s="78"/>
      <c r="D18" s="79"/>
      <c r="E18" s="37">
        <v>0</v>
      </c>
      <c r="F18" s="20" t="s">
        <v>4</v>
      </c>
      <c r="G18" s="9">
        <v>465567</v>
      </c>
      <c r="H18" s="20" t="s">
        <v>4</v>
      </c>
      <c r="I18" s="34"/>
    </row>
    <row r="19" spans="1:9" ht="30" customHeight="1" x14ac:dyDescent="0.25">
      <c r="A19" s="34"/>
      <c r="B19" s="100" t="s">
        <v>188</v>
      </c>
      <c r="C19" s="100"/>
      <c r="D19" s="100"/>
      <c r="E19" s="37">
        <v>588763</v>
      </c>
      <c r="F19" s="20" t="s">
        <v>4</v>
      </c>
      <c r="G19" s="9">
        <v>0</v>
      </c>
      <c r="H19" s="20" t="s">
        <v>4</v>
      </c>
      <c r="I19" s="34"/>
    </row>
    <row r="20" spans="1:9" x14ac:dyDescent="0.25">
      <c r="A20" s="34"/>
      <c r="B20" s="90" t="s">
        <v>132</v>
      </c>
      <c r="C20" s="91"/>
      <c r="D20" s="91"/>
      <c r="E20" s="91"/>
      <c r="F20" s="92"/>
      <c r="G20" s="18">
        <f>SUM(G10:G19)-SUM(E10:E19)</f>
        <v>378770.29839999974</v>
      </c>
      <c r="H20" s="19" t="s">
        <v>4</v>
      </c>
      <c r="I20" s="34"/>
    </row>
    <row r="21" spans="1:9" x14ac:dyDescent="0.25">
      <c r="A21" s="34"/>
      <c r="B21" s="90" t="s">
        <v>133</v>
      </c>
      <c r="C21" s="91"/>
      <c r="D21" s="91"/>
      <c r="E21" s="91"/>
      <c r="F21" s="92"/>
      <c r="G21" s="18">
        <f>G20*(1+'Fane 2.1. Økonomisk ramme 2018'!E18/100)</f>
        <v>385398.77862199978</v>
      </c>
      <c r="H21" s="19" t="s">
        <v>4</v>
      </c>
      <c r="I21" s="34"/>
    </row>
    <row r="22" spans="1:9" x14ac:dyDescent="0.25">
      <c r="A22" s="34"/>
      <c r="B22" s="22"/>
      <c r="C22" s="21"/>
      <c r="D22" s="21"/>
      <c r="E22" s="21"/>
      <c r="F22" s="21"/>
      <c r="G22" s="21"/>
      <c r="H22" s="21"/>
      <c r="I22" s="34"/>
    </row>
    <row r="23" spans="1:9" x14ac:dyDescent="0.25">
      <c r="A23" s="34"/>
      <c r="B23" s="21"/>
      <c r="C23" s="21"/>
      <c r="D23" s="21"/>
      <c r="E23" s="21"/>
      <c r="F23" s="21"/>
      <c r="G23" s="21"/>
      <c r="H23" s="21"/>
      <c r="I23" s="34"/>
    </row>
    <row r="24" spans="1:9" x14ac:dyDescent="0.25">
      <c r="A24" s="34"/>
      <c r="B24" s="34"/>
      <c r="C24" s="34"/>
      <c r="D24" s="34"/>
      <c r="E24" s="34"/>
      <c r="F24" s="34"/>
      <c r="G24" s="21"/>
      <c r="H24" s="34"/>
      <c r="I24" s="34"/>
    </row>
    <row r="25" spans="1:9" x14ac:dyDescent="0.25">
      <c r="A25" s="34"/>
      <c r="B25" s="34"/>
      <c r="C25" s="34"/>
      <c r="D25" s="34"/>
      <c r="E25" s="34"/>
      <c r="F25" s="34"/>
      <c r="G25" s="34"/>
      <c r="H25" s="34"/>
      <c r="I25" s="34"/>
    </row>
    <row r="26" spans="1:9" x14ac:dyDescent="0.25">
      <c r="A26" s="34"/>
      <c r="B26" s="34"/>
      <c r="C26" s="34"/>
      <c r="D26" s="34"/>
      <c r="E26" s="34"/>
      <c r="F26" s="34"/>
      <c r="G26" s="34"/>
      <c r="H26" s="34"/>
      <c r="I26" s="34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9:D19"/>
    <mergeCell ref="B18:D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5" customWidth="1"/>
    <col min="2" max="5" width="9.140625" style="35"/>
    <col min="6" max="6" width="19.85546875" style="35" customWidth="1"/>
    <col min="7" max="7" width="10.28515625" style="35" customWidth="1"/>
    <col min="8" max="8" width="3.28515625" style="35" customWidth="1"/>
    <col min="9" max="9" width="7.85546875" style="35" customWidth="1"/>
    <col min="10" max="16384" width="9.140625" style="35"/>
  </cols>
  <sheetData>
    <row r="1" spans="1:9" x14ac:dyDescent="0.25">
      <c r="A1" s="34"/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ht="15" customHeight="1" x14ac:dyDescent="0.25">
      <c r="A3" s="34"/>
      <c r="B3" s="76" t="s">
        <v>70</v>
      </c>
      <c r="C3" s="76"/>
      <c r="D3" s="76"/>
      <c r="E3" s="76"/>
      <c r="F3" s="76"/>
      <c r="G3" s="76"/>
      <c r="H3" s="76"/>
      <c r="I3" s="34"/>
    </row>
    <row r="4" spans="1:9" ht="15" customHeight="1" x14ac:dyDescent="0.25">
      <c r="A4" s="34"/>
      <c r="B4" s="76"/>
      <c r="C4" s="76"/>
      <c r="D4" s="76"/>
      <c r="E4" s="76"/>
      <c r="F4" s="76"/>
      <c r="G4" s="76"/>
      <c r="H4" s="76"/>
      <c r="I4" s="34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x14ac:dyDescent="0.25">
      <c r="A7" s="34"/>
      <c r="B7" s="34"/>
      <c r="C7" s="34"/>
      <c r="D7" s="34"/>
      <c r="E7" s="34"/>
      <c r="F7" s="34"/>
      <c r="G7" s="34"/>
      <c r="H7" s="34"/>
      <c r="I7" s="34"/>
    </row>
    <row r="8" spans="1:9" x14ac:dyDescent="0.25">
      <c r="A8" s="34"/>
      <c r="B8" s="90" t="s">
        <v>15</v>
      </c>
      <c r="C8" s="91"/>
      <c r="D8" s="91"/>
      <c r="E8" s="91"/>
      <c r="F8" s="91"/>
      <c r="G8" s="91"/>
      <c r="H8" s="92"/>
      <c r="I8" s="34"/>
    </row>
    <row r="9" spans="1:9" x14ac:dyDescent="0.25">
      <c r="A9" s="34"/>
      <c r="B9" s="80" t="s">
        <v>51</v>
      </c>
      <c r="C9" s="81"/>
      <c r="D9" s="81"/>
      <c r="E9" s="81"/>
      <c r="F9" s="82"/>
      <c r="G9" s="9">
        <f>'Fane 3. Korrigeret grundlag'!G23-'Fane 3. Korrigeret grundlag'!G22+SUM('Fane 2.1. Økonomisk ramme 2018'!E13:E14,'Fane 2.1. Økonomisk ramme 2018'!E16:E17)</f>
        <v>52328584.360484347</v>
      </c>
      <c r="H9" s="20" t="s">
        <v>4</v>
      </c>
      <c r="I9" s="34"/>
    </row>
    <row r="10" spans="1:9" x14ac:dyDescent="0.25">
      <c r="A10" s="34"/>
      <c r="B10" s="45" t="s">
        <v>205</v>
      </c>
      <c r="C10" s="43"/>
      <c r="D10" s="43"/>
      <c r="E10" s="43"/>
      <c r="F10" s="44"/>
      <c r="G10" s="9">
        <v>-863860.05402067502</v>
      </c>
      <c r="H10" s="20" t="s">
        <v>4</v>
      </c>
      <c r="I10" s="34"/>
    </row>
    <row r="11" spans="1:9" x14ac:dyDescent="0.25">
      <c r="A11" s="34"/>
      <c r="B11" s="80" t="s">
        <v>37</v>
      </c>
      <c r="C11" s="81"/>
      <c r="D11" s="81"/>
      <c r="E11" s="81"/>
      <c r="F11" s="82"/>
      <c r="G11" s="23">
        <v>0</v>
      </c>
      <c r="H11" s="20" t="s">
        <v>38</v>
      </c>
      <c r="I11" s="34"/>
    </row>
    <row r="12" spans="1:9" x14ac:dyDescent="0.25">
      <c r="A12" s="34"/>
      <c r="B12" s="90" t="s">
        <v>15</v>
      </c>
      <c r="C12" s="91"/>
      <c r="D12" s="91"/>
      <c r="E12" s="91"/>
      <c r="F12" s="92"/>
      <c r="G12" s="18">
        <f>($G$9+G10)*(1+'Fane 2.1. Økonomisk ramme 2018'!E18/100)*($G$11/100)</f>
        <v>0</v>
      </c>
      <c r="H12" s="19" t="s">
        <v>4</v>
      </c>
      <c r="I12" s="34"/>
    </row>
    <row r="13" spans="1:9" x14ac:dyDescent="0.25">
      <c r="A13" s="34"/>
      <c r="B13" s="34"/>
      <c r="C13" s="34"/>
      <c r="D13" s="34"/>
      <c r="E13" s="34"/>
      <c r="F13" s="34"/>
      <c r="G13" s="34"/>
      <c r="H13" s="34"/>
      <c r="I13" s="34"/>
    </row>
    <row r="14" spans="1:9" x14ac:dyDescent="0.25">
      <c r="A14" s="34"/>
      <c r="B14" s="34"/>
      <c r="C14" s="34"/>
      <c r="D14" s="34"/>
      <c r="E14" s="34"/>
      <c r="F14" s="34"/>
      <c r="G14" s="34"/>
      <c r="H14" s="34"/>
      <c r="I14" s="34"/>
    </row>
    <row r="15" spans="1:9" x14ac:dyDescent="0.25">
      <c r="A15" s="34"/>
      <c r="B15" s="34"/>
      <c r="C15" s="34"/>
      <c r="D15" s="34"/>
      <c r="E15" s="34"/>
      <c r="F15" s="34"/>
      <c r="G15" s="34"/>
      <c r="H15" s="34"/>
      <c r="I15" s="34"/>
    </row>
    <row r="16" spans="1:9" x14ac:dyDescent="0.25">
      <c r="A16" s="34"/>
      <c r="B16" s="34"/>
      <c r="C16" s="34"/>
      <c r="D16" s="34"/>
      <c r="E16" s="34"/>
      <c r="F16" s="34"/>
      <c r="G16" s="34"/>
      <c r="H16" s="34"/>
      <c r="I16" s="34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5" customWidth="1"/>
    <col min="2" max="3" width="9.140625" style="35"/>
    <col min="4" max="4" width="15.7109375" style="35" customWidth="1"/>
    <col min="5" max="5" width="9.140625" style="35"/>
    <col min="6" max="6" width="13.5703125" style="35" customWidth="1"/>
    <col min="7" max="7" width="10.28515625" style="35" customWidth="1"/>
    <col min="8" max="8" width="3.28515625" style="35" customWidth="1"/>
    <col min="9" max="9" width="7.85546875" style="35" customWidth="1"/>
    <col min="10" max="16384" width="9.140625" style="35"/>
  </cols>
  <sheetData>
    <row r="1" spans="1:9" x14ac:dyDescent="0.25">
      <c r="A1" s="34"/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ht="15" customHeight="1" x14ac:dyDescent="0.25">
      <c r="A3" s="34"/>
      <c r="B3" s="76" t="s">
        <v>71</v>
      </c>
      <c r="C3" s="76"/>
      <c r="D3" s="76"/>
      <c r="E3" s="76"/>
      <c r="F3" s="76"/>
      <c r="G3" s="76"/>
      <c r="H3" s="76"/>
      <c r="I3" s="34"/>
    </row>
    <row r="4" spans="1:9" ht="15" customHeight="1" x14ac:dyDescent="0.25">
      <c r="A4" s="34"/>
      <c r="B4" s="76"/>
      <c r="C4" s="76"/>
      <c r="D4" s="76"/>
      <c r="E4" s="76"/>
      <c r="F4" s="76"/>
      <c r="G4" s="76"/>
      <c r="H4" s="76"/>
      <c r="I4" s="34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x14ac:dyDescent="0.25">
      <c r="A7" s="34"/>
      <c r="B7" s="34"/>
      <c r="C7" s="34"/>
      <c r="D7" s="34"/>
      <c r="E7" s="34"/>
      <c r="F7" s="34"/>
      <c r="G7" s="34"/>
      <c r="H7" s="34"/>
      <c r="I7" s="34"/>
    </row>
    <row r="8" spans="1:9" x14ac:dyDescent="0.25">
      <c r="A8" s="34"/>
      <c r="B8" s="90" t="s">
        <v>53</v>
      </c>
      <c r="C8" s="91"/>
      <c r="D8" s="91"/>
      <c r="E8" s="91"/>
      <c r="F8" s="91"/>
      <c r="G8" s="91"/>
      <c r="H8" s="92"/>
      <c r="I8" s="34"/>
    </row>
    <row r="9" spans="1:9" x14ac:dyDescent="0.25">
      <c r="A9" s="34"/>
      <c r="B9" s="101" t="s">
        <v>47</v>
      </c>
      <c r="C9" s="102"/>
      <c r="D9" s="102"/>
      <c r="E9" s="102"/>
      <c r="F9" s="103"/>
      <c r="G9" s="9">
        <f>'Fane 3. Korrigeret grundlag'!G20+(SUM('Fane 2.1. Økonomisk ramme 2018'!E13,'Fane 2.1. Økonomisk ramme 2018'!E16))</f>
        <v>20670010.917066451</v>
      </c>
      <c r="H9" s="20" t="s">
        <v>4</v>
      </c>
      <c r="I9" s="34"/>
    </row>
    <row r="10" spans="1:9" x14ac:dyDescent="0.25">
      <c r="A10" s="34"/>
      <c r="B10" s="46" t="s">
        <v>204</v>
      </c>
      <c r="C10" s="47"/>
      <c r="D10" s="47"/>
      <c r="E10" s="47"/>
      <c r="F10" s="48"/>
      <c r="G10" s="9">
        <v>-413400.21834132902</v>
      </c>
      <c r="H10" s="20" t="s">
        <v>4</v>
      </c>
      <c r="I10" s="34"/>
    </row>
    <row r="11" spans="1:9" x14ac:dyDescent="0.25">
      <c r="A11" s="34"/>
      <c r="B11" s="80" t="s">
        <v>16</v>
      </c>
      <c r="C11" s="81"/>
      <c r="D11" s="81"/>
      <c r="E11" s="81"/>
      <c r="F11" s="82"/>
      <c r="G11" s="24">
        <f>2</f>
        <v>2</v>
      </c>
      <c r="H11" s="20" t="s">
        <v>38</v>
      </c>
      <c r="I11" s="34"/>
    </row>
    <row r="12" spans="1:9" x14ac:dyDescent="0.25">
      <c r="A12" s="34"/>
      <c r="B12" s="87" t="s">
        <v>39</v>
      </c>
      <c r="C12" s="88"/>
      <c r="D12" s="88"/>
      <c r="E12" s="88"/>
      <c r="F12" s="89"/>
      <c r="G12" s="15">
        <f>($G$9+$G$10)*(1+'Fane 2.1. Økonomisk ramme 2018'!E18/100)*$G$11/100</f>
        <v>412222.02771905629</v>
      </c>
      <c r="H12" s="25" t="s">
        <v>4</v>
      </c>
      <c r="I12" s="34"/>
    </row>
    <row r="13" spans="1:9" x14ac:dyDescent="0.25">
      <c r="A13" s="34"/>
      <c r="B13" s="80" t="s">
        <v>48</v>
      </c>
      <c r="C13" s="81"/>
      <c r="D13" s="81"/>
      <c r="E13" s="81"/>
      <c r="F13" s="82"/>
      <c r="G13" s="9">
        <f xml:space="preserve"> 'Fane 3. Korrigeret grundlag'!G21+SUM('Fane 2.1. Økonomisk ramme 2018'!E14,'Fane 2.1. Økonomisk ramme 2018'!E17)</f>
        <v>31658573.443417899</v>
      </c>
      <c r="H13" s="20" t="s">
        <v>4</v>
      </c>
      <c r="I13" s="34"/>
    </row>
    <row r="14" spans="1:9" x14ac:dyDescent="0.25">
      <c r="A14" s="34"/>
      <c r="B14" s="45" t="s">
        <v>206</v>
      </c>
      <c r="C14" s="43"/>
      <c r="D14" s="43"/>
      <c r="E14" s="43"/>
      <c r="F14" s="44"/>
      <c r="G14" s="9">
        <v>-278911</v>
      </c>
      <c r="H14" s="20" t="s">
        <v>4</v>
      </c>
      <c r="I14" s="34"/>
    </row>
    <row r="15" spans="1:9" x14ac:dyDescent="0.25">
      <c r="A15" s="34"/>
      <c r="B15" s="80" t="s">
        <v>16</v>
      </c>
      <c r="C15" s="81"/>
      <c r="D15" s="81"/>
      <c r="E15" s="81"/>
      <c r="F15" s="82"/>
      <c r="G15" s="23">
        <v>1.77</v>
      </c>
      <c r="H15" s="20" t="s">
        <v>38</v>
      </c>
      <c r="I15" s="34"/>
    </row>
    <row r="16" spans="1:9" x14ac:dyDescent="0.25">
      <c r="A16" s="34"/>
      <c r="B16" s="87" t="s">
        <v>40</v>
      </c>
      <c r="C16" s="88"/>
      <c r="D16" s="88"/>
      <c r="E16" s="88"/>
      <c r="F16" s="89"/>
      <c r="G16" s="15">
        <f>($G$13+$G$14)*(1+'Fane 2.1. Økonomisk ramme 2018'!E18/100)*$G$15/100</f>
        <v>565139.87569034554</v>
      </c>
      <c r="H16" s="25" t="s">
        <v>4</v>
      </c>
      <c r="I16" s="34"/>
    </row>
    <row r="17" spans="1:9" x14ac:dyDescent="0.25">
      <c r="A17" s="34"/>
      <c r="B17" s="90" t="s">
        <v>52</v>
      </c>
      <c r="C17" s="91"/>
      <c r="D17" s="91"/>
      <c r="E17" s="91"/>
      <c r="F17" s="92"/>
      <c r="G17" s="18">
        <f>G12+G16</f>
        <v>977361.90340940189</v>
      </c>
      <c r="H17" s="19" t="s">
        <v>4</v>
      </c>
      <c r="I17" s="34"/>
    </row>
    <row r="18" spans="1:9" x14ac:dyDescent="0.25">
      <c r="A18" s="34"/>
      <c r="B18" s="34"/>
      <c r="C18" s="34"/>
      <c r="D18" s="34"/>
      <c r="E18" s="34"/>
      <c r="F18" s="34"/>
      <c r="G18" s="34"/>
      <c r="H18" s="34"/>
      <c r="I18" s="34"/>
    </row>
    <row r="19" spans="1:9" x14ac:dyDescent="0.25">
      <c r="A19" s="34"/>
      <c r="B19" s="34"/>
      <c r="C19" s="34"/>
      <c r="D19" s="34"/>
      <c r="E19" s="34"/>
      <c r="F19" s="34"/>
      <c r="G19" s="34"/>
      <c r="H19" s="34"/>
      <c r="I19" s="34"/>
    </row>
    <row r="20" spans="1:9" x14ac:dyDescent="0.25">
      <c r="A20" s="34"/>
      <c r="B20" s="34"/>
      <c r="C20" s="34"/>
      <c r="D20" s="34"/>
      <c r="E20" s="34"/>
      <c r="F20" s="34"/>
      <c r="G20" s="34"/>
      <c r="H20" s="34"/>
      <c r="I20" s="34"/>
    </row>
    <row r="21" spans="1:9" x14ac:dyDescent="0.25">
      <c r="A21" s="34"/>
      <c r="B21" s="34"/>
      <c r="C21" s="34"/>
      <c r="D21" s="34"/>
      <c r="E21" s="34"/>
      <c r="F21" s="34"/>
      <c r="G21" s="34"/>
      <c r="H21" s="34"/>
      <c r="I21" s="34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2018-08-29T09:13:33Z</dcterms:modified>
</cp:coreProperties>
</file>