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C3" i="16" l="1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C5" i="16"/>
  <c r="J3" i="24"/>
  <c r="C6" i="16"/>
  <c r="D3" i="16" l="1"/>
  <c r="M3" i="24"/>
  <c r="B9" i="12" s="1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<sst xmlns="http://schemas.openxmlformats.org/spreadsheetml/2006/main" count="108" uniqueCount="74">
  <si>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</si>
  <si>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</si>
  <si>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</si>
  <si>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</si>
  <si>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</si>
  <si>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</si>
  <si>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</si>
  <si>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</si>
  <si>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</si>
  <si>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</si>
  <si>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</si>
  <si>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</si>
  <si>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</si>
  <si>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</si>
  <si>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</si>
  <si>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</si>
  <si>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</si>
  <si>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</si>
  <si>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</si>
  <si>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</si>
  <si>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</si>
  <si>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</si>
  <si>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Indsats mod oversvømmelser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</si>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</sst>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31989915.146393329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663687.02935333329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120387.31946666665</v>
      </c>
      <c r="C4" t="s">
        <v>11</v>
      </c>
    </row>
    <row r="5" spans="1:3" s="26" customFormat="1" x14ac:dyDescent="0.25">
      <c r="A5" s="3" t="s">
        <v>12</v>
      </c>
      <c r="B5" s="48">
        <f>SUM(B2:B4)</f>
        <v>32773989.495213326</v>
      </c>
      <c r="C5" s="62" t="s">
        <v>11</v>
      </c>
    </row>
    <row r="6" spans="1:3" x14ac:dyDescent="0.25">
      <c r="A6" s="47" t="s">
        <v>0</v>
      </c>
      <c r="B6" s="38">
        <f>Investeringer!E3</f>
        <v>51640320.350989647</v>
      </c>
      <c r="C6" s="23" t="s">
        <v>11</v>
      </c>
    </row>
    <row r="7" spans="1:3" x14ac:dyDescent="0.25">
      <c r="A7" s="4" t="s">
        <v>1</v>
      </c>
      <c r="B7" s="35">
        <f>Investeringer!F3</f>
        <v>12608440.109311672</v>
      </c>
      <c r="C7" t="s">
        <v>11</v>
      </c>
    </row>
    <row r="8" spans="1:3" x14ac:dyDescent="0.25">
      <c r="A8" s="4" t="s">
        <v>2</v>
      </c>
      <c r="B8" s="35">
        <f>Investeringer!G3</f>
        <v>1703232.2525597271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8850213.6983160004</v>
      </c>
      <c r="C9" t="s">
        <v>11</v>
      </c>
    </row>
    <row r="10" spans="1:3" s="22" customFormat="1" x14ac:dyDescent="0.25">
      <c r="A10" s="3" t="s">
        <v>47</v>
      </c>
      <c r="B10" s="48">
        <f>SUM(B6:B9)</f>
        <v>74802206.411177039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2575628</v>
      </c>
      <c r="C11" t="s">
        <v>11</v>
      </c>
    </row>
    <row r="12" spans="1:3" s="22" customFormat="1" x14ac:dyDescent="0.25">
      <c r="A12" s="3" t="s">
        <v>67</v>
      </c>
      <c r="B12" s="48">
        <f>SUM(B11:B11)</f>
        <v>2575628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57</v>
      </c>
      <c r="B14" s="37">
        <f>SUM(B5,B10,B12)</f>
        <v>110151823.90639037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111126859.21213551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58</v>
      </c>
      <c r="D1" s="59" t="s">
        <v>59</v>
      </c>
      <c r="E1" s="59" t="s">
        <v>52</v>
      </c>
      <c r="F1" s="52" t="s">
        <v>60</v>
      </c>
      <c r="G1" s="52" t="s">
        <v>68</v>
      </c>
      <c r="H1" s="52" t="s">
        <v>61</v>
      </c>
      <c r="I1" s="52" t="s">
        <v>48</v>
      </c>
      <c r="J1" s="11" t="s">
        <v>62</v>
      </c>
      <c r="K1" s="11" t="s">
        <v>63</v>
      </c>
    </row>
    <row r="2" spans="1:11" s="23" customFormat="1" ht="15.75" thickTop="1" x14ac:dyDescent="0.25">
      <c r="A2" s="28">
        <v>2015</v>
      </c>
      <c r="B2" s="49">
        <v>34682362</v>
      </c>
      <c r="C2" s="49">
        <v>0</v>
      </c>
      <c r="D2" s="49">
        <f>B2+C2</f>
        <v>34682362</v>
      </c>
      <c r="E2" s="50">
        <f>D2</f>
        <v>34682362</v>
      </c>
      <c r="F2" s="49">
        <v>33610188.651419498</v>
      </c>
      <c r="G2" s="49">
        <v>0</v>
      </c>
      <c r="H2" s="49">
        <f>F2-G2</f>
        <v>33610188.651419498</v>
      </c>
      <c r="I2" s="49">
        <f>AVERAGEIF(E2:E4,"&lt;&gt;0")</f>
        <v>31989915.146393329</v>
      </c>
      <c r="J2" s="49">
        <v>27507366.992532931</v>
      </c>
      <c r="K2" s="39">
        <f>IF(H2&gt;I2,IF(I2&gt;J2,I2,J2),H2)</f>
        <v>31989915.146393329</v>
      </c>
    </row>
    <row r="3" spans="1:11" s="23" customFormat="1" x14ac:dyDescent="0.25">
      <c r="A3" s="28">
        <v>2014</v>
      </c>
      <c r="B3" s="49">
        <v>31099272</v>
      </c>
      <c r="C3" s="49"/>
      <c r="D3" s="49">
        <f t="shared" ref="D3:D4" si="0">B3+C3</f>
        <v>31099272</v>
      </c>
      <c r="E3" s="50">
        <f>D3*Pristalsregulering!C7</f>
        <v>31124151.417599998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29693715</v>
      </c>
      <c r="C4" s="49"/>
      <c r="D4" s="49">
        <f t="shared" si="0"/>
        <v>29693715</v>
      </c>
      <c r="E4" s="50">
        <f>D4*Pristalsregulering!$C$6*Pristalsregulering!$C$7</f>
        <v>30163232.021579996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76" customWidth="1"/>
    <col min="5" max="5" width="30.7109375" style="55" customWidth="1"/>
    <col min="6" max="6" width="9.140625" hidden="1" customWidth="1"/>
    <col min="7" max="74" width="0" hidden="1" customWidth="1"/>
    <col min="75" max="75" width="9.140625" hidden="1" customWidth="1"/>
    <col min="76" max="117" width="0" hidden="1" customWidth="1"/>
    <col min="118" max="118" width="9.140625" hidden="1" customWidth="1"/>
    <col min="119" max="186" width="0" hidden="1" customWidth="1"/>
    <col min="187" max="187" width="9.140625" hidden="1" customWidth="1"/>
    <col min="188" max="229" width="0" hidden="1" customWidth="1"/>
    <col min="230" max="230" width="9.140625" hidden="1" customWidth="1"/>
    <col min="231" max="298" width="0" hidden="1" customWidth="1"/>
    <col min="299" max="299" width="9.140625" hidden="1" customWidth="1"/>
    <col min="300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70</v>
      </c>
      <c r="C1" s="63" t="s">
        <v>71</v>
      </c>
      <c r="D1" s="73" t="s">
        <v>72</v>
      </c>
      <c r="E1" s="63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74" t="s">
        <v>22</v>
      </c>
      <c r="E2" s="53" t="s">
        <v>23</v>
      </c>
    </row>
    <row r="3" spans="1:5" s="22" customFormat="1" x14ac:dyDescent="0.25">
      <c r="A3" s="28">
        <v>2016</v>
      </c>
      <c r="B3" s="72">
        <v>0</v>
      </c>
      <c r="C3" s="45">
        <f>B3/Pristalsregulering!$C$8</f>
        <v>0</v>
      </c>
      <c r="D3" s="75">
        <f>IF(C4=0,0,AVERAGEIF(C4:C6,"&lt;&gt;0"))+C3</f>
        <v>663687.02935333329</v>
      </c>
      <c r="E3" s="57">
        <f>SUM(D3:D3)</f>
        <v>663687.02935333329</v>
      </c>
    </row>
    <row r="4" spans="1:5" x14ac:dyDescent="0.25">
      <c r="A4" s="28">
        <v>2015</v>
      </c>
      <c r="B4" s="35">
        <v>694696</v>
      </c>
      <c r="C4" s="45">
        <f>B4</f>
        <v>694696</v>
      </c>
      <c r="D4" s="75"/>
      <c r="E4" s="54"/>
    </row>
    <row r="5" spans="1:5" x14ac:dyDescent="0.25">
      <c r="A5" s="28">
        <v>2014</v>
      </c>
      <c r="B5" s="35">
        <v>653590</v>
      </c>
      <c r="C5" s="45">
        <f>B5*Pristalsregulering!$C$7</f>
        <v>654112.87199999997</v>
      </c>
      <c r="D5" s="75"/>
      <c r="E5" s="45"/>
    </row>
    <row r="6" spans="1:5" x14ac:dyDescent="0.25">
      <c r="A6" s="28">
        <v>2013</v>
      </c>
      <c r="B6" s="35">
        <v>632255</v>
      </c>
      <c r="C6" s="45">
        <f>B6*Pristalsregulering!$C$7*Pristalsregulering!$C$6</f>
        <v>642252.21605999977</v>
      </c>
      <c r="D6" s="75"/>
      <c r="E6" s="45"/>
    </row>
    <row r="7" spans="1:5" hidden="1" x14ac:dyDescent="0.25"/>
    <row r="8" spans="1:5" hidden="1" x14ac:dyDescent="0.25"/>
    <row r="9" spans="1:5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24</v>
      </c>
      <c r="C1" s="78"/>
      <c r="D1" s="78"/>
      <c r="E1" s="79" t="s">
        <v>53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15000</v>
      </c>
      <c r="C3" s="42">
        <v>103520</v>
      </c>
      <c r="D3" s="42">
        <v>0</v>
      </c>
      <c r="E3" s="41">
        <f>B3</f>
        <v>15000</v>
      </c>
      <c r="F3" s="42">
        <f t="shared" ref="F3:G3" si="0">C3</f>
        <v>103520</v>
      </c>
      <c r="G3" s="43">
        <f t="shared" si="0"/>
        <v>0</v>
      </c>
      <c r="H3" s="44">
        <f>IF(E3=0,0,AVERAGEIF(E3:E5,"&lt;&gt;0"))+IF(F3=0,0,AVERAGEIF(F3:F5,"&lt;&gt;0"))+IF(G3=0,0,AVERAGEIF(G3:G5,"&lt;&gt;0"))</f>
        <v>120387.31946666665</v>
      </c>
    </row>
    <row r="4" spans="1:8" x14ac:dyDescent="0.25">
      <c r="A4" s="31">
        <v>2014</v>
      </c>
      <c r="B4" s="41">
        <v>39000</v>
      </c>
      <c r="C4" s="42">
        <v>78400</v>
      </c>
      <c r="D4" s="42">
        <v>9000</v>
      </c>
      <c r="E4" s="41">
        <f>B4*Pristalsregulering!$C$7</f>
        <v>39031.199999999997</v>
      </c>
      <c r="F4" s="42">
        <f>C4*Pristalsregulering!$C$7</f>
        <v>78462.719999999987</v>
      </c>
      <c r="G4" s="43">
        <f>D4*Pristalsregulering!$C$7</f>
        <v>9007.1999999999989</v>
      </c>
      <c r="H4" s="42"/>
    </row>
    <row r="5" spans="1:8" x14ac:dyDescent="0.25">
      <c r="A5" s="31">
        <v>2013</v>
      </c>
      <c r="B5" s="41">
        <v>48000</v>
      </c>
      <c r="C5" s="42">
        <v>75200</v>
      </c>
      <c r="D5" s="42">
        <v>0</v>
      </c>
      <c r="E5" s="41">
        <f>B5*Pristalsregulering!$C$7*Pristalsregulering!$C$6</f>
        <v>48758.975999999988</v>
      </c>
      <c r="F5" s="42">
        <f>C5*Pristalsregulering!$C$7*Pristalsregulering!$C$6</f>
        <v>76389.062399999981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>
      <selection activeCell="B1" sqref="B1:D1"/>
    </sheetView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80" t="s">
        <v>65</v>
      </c>
      <c r="C1" s="80"/>
      <c r="D1" s="81"/>
      <c r="E1" s="82" t="s">
        <v>66</v>
      </c>
      <c r="F1" s="82"/>
      <c r="G1" s="82"/>
    </row>
    <row r="2" spans="1:7" s="22" customFormat="1" ht="15.75" thickTop="1" x14ac:dyDescent="0.25">
      <c r="A2" s="69" t="s">
        <v>13</v>
      </c>
      <c r="B2" s="23" t="s">
        <v>64</v>
      </c>
      <c r="C2" s="23" t="s">
        <v>1</v>
      </c>
      <c r="D2" s="28" t="s">
        <v>73</v>
      </c>
      <c r="E2" s="22" t="s">
        <v>0</v>
      </c>
      <c r="F2" s="22" t="s">
        <v>1</v>
      </c>
      <c r="G2" s="22" t="s">
        <v>73</v>
      </c>
    </row>
    <row r="3" spans="1:7" s="22" customFormat="1" x14ac:dyDescent="0.25">
      <c r="A3" s="70">
        <v>2015</v>
      </c>
      <c r="B3" s="38">
        <v>47433057.261710152</v>
      </c>
      <c r="C3" s="38">
        <v>12317710.949999996</v>
      </c>
      <c r="D3" s="40">
        <v>1696759.97</v>
      </c>
      <c r="E3" s="35">
        <f>B3*Pristalsregulering!C2*Pristalsregulering!C3*Pristalsregulering!C4*Pristalsregulering!C5*Pristalsregulering!C6*Pristalsregulering!C7</f>
        <v>51640320.350989647</v>
      </c>
      <c r="F3" s="35">
        <v>12608440.109311672</v>
      </c>
      <c r="G3" s="35">
        <f xml:space="preserve"> D3/Pristalsregulering!$C$8</f>
        <v>1703232.2525597271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40</v>
      </c>
      <c r="C1" s="78"/>
      <c r="D1" s="78"/>
      <c r="E1" s="78"/>
      <c r="F1" s="79" t="s">
        <v>54</v>
      </c>
      <c r="G1" s="80"/>
      <c r="H1" s="80"/>
      <c r="I1" s="80"/>
      <c r="J1" s="83" t="s">
        <v>29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69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7901889</v>
      </c>
      <c r="D3" s="38">
        <v>0</v>
      </c>
      <c r="E3" s="40">
        <v>0</v>
      </c>
      <c r="F3" s="38">
        <f>B3</f>
        <v>0</v>
      </c>
      <c r="G3" s="38">
        <f>C3</f>
        <v>7901889</v>
      </c>
      <c r="H3" s="38">
        <f>D3</f>
        <v>0</v>
      </c>
      <c r="I3" s="40">
        <f>E3</f>
        <v>0</v>
      </c>
      <c r="J3" s="42">
        <f>AVERAGE(F3:F5)</f>
        <v>86682.188651999983</v>
      </c>
      <c r="K3" s="42">
        <f>G3</f>
        <v>7901889</v>
      </c>
      <c r="L3" s="43">
        <f>AVERAGE(H3:H5)+AVERAGE(I3:I5)</f>
        <v>861642.5096639999</v>
      </c>
      <c r="M3" s="44">
        <f>SUM(J3:L3)</f>
        <v>8850213.6983160004</v>
      </c>
      <c r="N3" s="23"/>
    </row>
    <row r="4" spans="1:14" x14ac:dyDescent="0.25">
      <c r="A4" s="28">
        <v>2014</v>
      </c>
      <c r="B4" s="45">
        <v>206741</v>
      </c>
      <c r="C4" s="38">
        <v>6428275</v>
      </c>
      <c r="D4" s="38">
        <v>1600325</v>
      </c>
      <c r="E4" s="40">
        <v>0</v>
      </c>
      <c r="F4" s="38">
        <f>IF(B4="","",B4*Pristalsregulering!$C$7)</f>
        <v>206906.39279999997</v>
      </c>
      <c r="G4" s="38">
        <f>IF(C4="","",C4*Pristalsregulering!$C$7)</f>
        <v>6433417.6199999992</v>
      </c>
      <c r="H4" s="38">
        <f>IF(D4="","",D4*Pristalsregulering!$C$7)</f>
        <v>1601605.2599999998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52313</v>
      </c>
      <c r="C5" s="38">
        <v>5346439</v>
      </c>
      <c r="D5" s="38">
        <v>968016</v>
      </c>
      <c r="E5" s="40">
        <v>0</v>
      </c>
      <c r="F5" s="38">
        <f>IF(B5="","",B5*Pristalsregulering!$C$7*Pristalsregulering!$C$6)</f>
        <v>53140.17315599999</v>
      </c>
      <c r="G5" s="38">
        <f>IF(C5="","",C5*Pristalsregulering!$C$7*Pristalsregulering!$C$6)</f>
        <v>5430976.8934679991</v>
      </c>
      <c r="H5" s="38">
        <f>IF(D5="","",D5*Pristalsregulering!$C$7*Pristalsregulering!$C$6)</f>
        <v>983322.26899199979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55</v>
      </c>
      <c r="L1" s="67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90201</v>
      </c>
      <c r="E2" s="42">
        <v>846716</v>
      </c>
      <c r="F2" s="42">
        <v>0</v>
      </c>
      <c r="G2" s="42">
        <v>0</v>
      </c>
      <c r="H2" s="42">
        <v>1606188</v>
      </c>
      <c r="I2" s="42">
        <v>0</v>
      </c>
      <c r="J2" s="42"/>
      <c r="K2" s="42"/>
      <c r="L2" s="43">
        <v>0</v>
      </c>
      <c r="M2" s="44">
        <f>SUM(B2:L2)</f>
        <v>2575628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56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2017-06-28T08:31:36Z</dcterms:modified>
</cp:coreProperties>
</file>