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externalReferences>
    <externalReference r:id="rId16"/>
  </externalReferences>
  <definedNames>
    <definedName name="GenereltKrav">'Fane 12. Nøgletal'!$F$16</definedName>
    <definedName name="GenereltKravDrift2019">'[1]Fane 5. Generelt eff. krav'!$G$18</definedName>
    <definedName name="IndividueltKrav">'[1]Fane 12. Nøgletal'!$F$14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D12" i="20" l="1"/>
  <c r="C18" i="2" l="1"/>
  <c r="C19" i="2" s="1"/>
  <c r="E19" i="2" s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31" i="2" l="1"/>
  <c r="C16" i="23"/>
  <c r="E16" i="23" s="1"/>
  <c r="C16" i="22"/>
  <c r="C17" i="22" s="1"/>
  <c r="E17" i="22" s="1"/>
  <c r="C17" i="15"/>
  <c r="C18" i="15" s="1"/>
  <c r="E18" i="15" s="1"/>
  <c r="C21" i="2"/>
  <c r="C22" i="2" s="1"/>
  <c r="E22" i="2" s="1"/>
  <c r="G21" i="7" l="1"/>
  <c r="G22" i="7"/>
  <c r="G17" i="7"/>
  <c r="E11" i="21"/>
  <c r="E12" i="21" s="1"/>
  <c r="C11" i="21"/>
  <c r="C12" i="21" s="1"/>
  <c r="C10" i="2"/>
  <c r="C10" i="15" s="1"/>
  <c r="C9" i="2"/>
  <c r="E12" i="19"/>
  <c r="E13" i="19" s="1"/>
  <c r="C24" i="2" l="1"/>
  <c r="C26" i="2" s="1"/>
  <c r="E26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31" i="2" l="1"/>
  <c r="G13" i="10"/>
  <c r="C33" i="2" l="1"/>
  <c r="C24" i="15"/>
  <c r="E24" i="15" s="1"/>
  <c r="D13" i="20" l="1"/>
  <c r="G11" i="7" l="1"/>
  <c r="E11" i="11" l="1"/>
  <c r="F10" i="20" s="1"/>
  <c r="F12" i="20" s="1"/>
  <c r="F13" i="20" s="1"/>
  <c r="C11" i="2" s="1"/>
  <c r="E33" i="2"/>
  <c r="C13" i="2" l="1"/>
  <c r="C14" i="2" s="1"/>
  <c r="C15" i="2" s="1"/>
  <c r="C11" i="15"/>
  <c r="E23" i="22"/>
  <c r="E15" i="2" l="1"/>
  <c r="E34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<sst xmlns="http://schemas.openxmlformats.org/spreadsheetml/2006/main" count="366" uniqueCount="159">
  <si>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</si>
  <si>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</si>
  <si>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</si>
  <si>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</si>
  <si>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</si>
  <si>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</si>
  <si>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</si>
  <si>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</si>
  <si>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</si>
  <si>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</si>
  <si>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</si>
  <si>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</si>
  <si>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</si>
  <si>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</si>
  <si>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</si>
  <si>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</si>
  <si>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</si>
  <si>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</si>
  <si>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</si>
  <si>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</si>
  <si>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</si>
  <si>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</si>
  <si>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</si>
  <si>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</si>
  <si>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</si>
  <si>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</si>
  <si>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</si>
  <si>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</si>
  <si>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</si>
  <si>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</si>
  <si>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</si>
  <si>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</si>
  <si>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</si>
  <si>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</si>
  <si>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</si>
  <si>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</si>
  <si>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</si>
  <si>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</si>
  <si>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</si>
  <si>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</si>
  <si>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</si>
  <si>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</si>
  <si>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</si>
  <si>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</si>
  <si>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</si>
  <si>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</si>
  <si>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</si>
  <si>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</si>
  <si>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</si>
  <si>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</si>
  <si>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</si>
  <si>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</si>
  <si>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</si>
  <si>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</si>
  <si>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</si>
  <si>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</si>
  <si>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</si>
  <si>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</si>
  <si>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</si>
  <si>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</si>
  <si>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</si>
  <si>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</si>
  <si>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</si>
  <si>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</si>
  <si>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</si>
  <si>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</si>
  <si>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</si>
  <si>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</si>
  <si>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</si>
  <si>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</si>
  <si>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</si>
  <si>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</si>
  <si>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</si>
  <si>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</si>
  <si>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</si>
  <si>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</si>
  <si>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</si>
  <si>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</si>
  <si>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</si>
  <si>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</si>
  <si>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</si>
  <si>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</si>
  <si>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</si>
  <si>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</si>
  <si>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</si>
  <si>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</si>
  <si>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</si>
  <si>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</si>
  <si>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</si>
  <si>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</si>
  <si>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</si>
  <si>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</si>
  <si>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</si>
  <si>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</si>
  <si>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</si>
  <si>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</si>
  <si>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</si>
  <si>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</si>
  <si>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</si>
  <si>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</si>
  <si>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</si>
  <si>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</si>
  <si>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</si>
  <si>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</si>
  <si>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</si>
  <si>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</si>
  <si>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</si>
  <si>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</si>
  <si>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</si>
  <si>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</si>
  <si>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</si>
  <si>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</si>
  <si>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</si>
  <si>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</si>
  <si>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</si>
  <si>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</si>
  <si>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</si>
  <si>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</si>
  <si>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</si>
  <si>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</si>
  <si>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</si>
  <si>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</si>
  <si>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</si>
  <si>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</si>
  <si>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</si>
  <si>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</si>
  <si>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</si>
  <si>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</si>
  <si>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</si>
  <si>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</si>
  <si>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</si>
  <si>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</si>
  <si>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</si>
  <si>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</si>
  <si>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</si>
  <si>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</si>
  <si>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</si>
  <si>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</si>
  <si>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</si>
  <si>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</si>
  <si>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</si>
  <si>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</si>
  <si>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</si>
  <si>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</si>
  <si>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</si>
  <si>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</si>
  <si>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Engangstillæg til nye periodevise driftsomkostninger i 2017</t>
  </si>
  <si>
    <t>Effektiviseringskrav</t>
  </si>
  <si>
    <t>Engangstillæg til nye periodevise driftsomkostninger i 2017 i alt</t>
  </si>
  <si>
    <t>Periodevise driftsomkostninger under prisloftsbekendtgørelsen</t>
  </si>
  <si>
    <t>Periodevise driftsomkostninger under PL-bekendtgørelsen i alt</t>
  </si>
  <si>
    <t>Afgift for ledingsført vand</t>
  </si>
  <si>
    <t>Afgift til Forsyningsekretariatet</t>
  </si>
  <si>
    <t xml:space="preserve">Ingen anlægsprojekter 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</si>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</sst>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Spildevand/Energi%20Viborg%20Vand%20AS%20(S014)/&#216;R2019/Bilag%20A%20-%20Energi%20Viborg%20Vand%20AS%20(S014)%20-%20&#216;R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Forside"/>
      <sheetName val="Fane 2.1. Økonomisk ramme 2019"/>
      <sheetName val="Fane 2.2. Økonomisk ramme 2020"/>
      <sheetName val="Fane 2.3. Økonomisk ramme 2021"/>
      <sheetName val="Fane 2.4. Økonomisk ramme 2022"/>
      <sheetName val="Fane 3. Omkostninger i ØR2018"/>
      <sheetName val="Fane 4. Ikke-påvirkelige omk."/>
      <sheetName val="Fane 5. Generelt eff. krav"/>
      <sheetName val="Fane 6. Hist. over el. underdæk"/>
      <sheetName val="Fane 7. Kontrol af ØR2017"/>
      <sheetName val="Fane 8. Anlægsprojekter"/>
      <sheetName val="Fane 9. Tillæg"/>
      <sheetName val="Fane 10. Tilknyttet aktivitet"/>
      <sheetName val="Fane 11. Bortfald"/>
      <sheetName val="Fane 12. Nøgle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G18">
            <v>0.02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101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32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31</v>
      </c>
      <c r="D14" s="71" t="s">
        <v>94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92</v>
      </c>
      <c r="D15" s="71" t="s">
        <v>95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93</v>
      </c>
      <c r="D16" s="71" t="s">
        <v>130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7</v>
      </c>
      <c r="D17" s="80" t="s">
        <v>96</v>
      </c>
      <c r="E17" s="81"/>
      <c r="F17" s="81"/>
      <c r="G17" s="82"/>
      <c r="H17" s="1"/>
      <c r="I17" s="1"/>
    </row>
    <row r="18" spans="1:9" x14ac:dyDescent="0.25">
      <c r="A18" s="1"/>
      <c r="B18" s="1"/>
      <c r="C18" s="6" t="s">
        <v>8</v>
      </c>
      <c r="D18" s="80" t="s">
        <v>98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9</v>
      </c>
      <c r="D19" s="80" t="s">
        <v>97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10</v>
      </c>
      <c r="D20" s="83" t="s">
        <v>127</v>
      </c>
      <c r="E20" s="84"/>
      <c r="F20" s="84"/>
      <c r="G20" s="85"/>
      <c r="H20" s="1"/>
      <c r="I20" s="1"/>
    </row>
    <row r="21" spans="1:9" x14ac:dyDescent="0.25">
      <c r="A21" s="1"/>
      <c r="B21" s="1"/>
      <c r="C21" s="6" t="s">
        <v>11</v>
      </c>
      <c r="D21" s="75" t="s">
        <v>99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12</v>
      </c>
      <c r="D22" s="75" t="s">
        <v>128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13</v>
      </c>
      <c r="D23" s="75" t="s">
        <v>102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25</v>
      </c>
      <c r="D24" s="68" t="s">
        <v>28</v>
      </c>
      <c r="E24" s="69"/>
      <c r="F24" s="69"/>
      <c r="G24" s="70"/>
      <c r="H24" s="1"/>
      <c r="I24" s="1"/>
    </row>
    <row r="25" spans="1:9" x14ac:dyDescent="0.25">
      <c r="A25" s="1"/>
      <c r="B25" s="1"/>
      <c r="C25" s="6" t="s">
        <v>29</v>
      </c>
      <c r="D25" s="65" t="s">
        <v>100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30</v>
      </c>
      <c r="D26" s="65" t="s">
        <v>65</v>
      </c>
      <c r="E26" s="66"/>
      <c r="F26" s="66"/>
      <c r="G26" s="67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-1522349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-1211971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-310378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-155189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110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5" t="s">
        <v>103</v>
      </c>
      <c r="C9" s="96"/>
      <c r="D9" s="97"/>
      <c r="E9" s="11">
        <v>2257847.6409999998</v>
      </c>
      <c r="F9" s="22" t="s">
        <v>3</v>
      </c>
      <c r="G9" s="19"/>
      <c r="H9" s="27"/>
      <c r="I9" s="1"/>
    </row>
    <row r="10" spans="1:9" x14ac:dyDescent="0.25">
      <c r="A10" s="1"/>
      <c r="B10" s="95" t="s">
        <v>104</v>
      </c>
      <c r="C10" s="96"/>
      <c r="D10" s="97"/>
      <c r="E10" s="11">
        <v>2656969</v>
      </c>
      <c r="F10" s="22" t="s">
        <v>3</v>
      </c>
      <c r="G10" s="14"/>
      <c r="H10" s="28"/>
      <c r="I10" s="1"/>
    </row>
    <row r="11" spans="1:9" x14ac:dyDescent="0.25">
      <c r="A11" s="1"/>
      <c r="B11" s="95" t="s">
        <v>111</v>
      </c>
      <c r="C11" s="96"/>
      <c r="D11" s="97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8" t="s">
        <v>105</v>
      </c>
      <c r="C12" s="99"/>
      <c r="D12" s="100"/>
      <c r="E12" s="17">
        <f>E9-(E10-E11)</f>
        <v>-399121.35900000017</v>
      </c>
      <c r="F12" s="25" t="s">
        <v>3</v>
      </c>
      <c r="G12" s="17">
        <f>E12</f>
        <v>-399121.35900000017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115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89" t="s">
        <v>112</v>
      </c>
      <c r="C18" s="90"/>
      <c r="D18" s="91"/>
      <c r="E18" s="11">
        <f>IF(E12&lt;0,E12,0)</f>
        <v>-399121.35900000017</v>
      </c>
      <c r="F18" s="22" t="s">
        <v>3</v>
      </c>
      <c r="G18" s="14"/>
      <c r="H18" s="28"/>
      <c r="I18" s="1"/>
    </row>
    <row r="19" spans="1:9" x14ac:dyDescent="0.25">
      <c r="A19" s="1"/>
      <c r="B19" s="89" t="s">
        <v>113</v>
      </c>
      <c r="C19" s="90"/>
      <c r="D19" s="91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9" t="s">
        <v>114</v>
      </c>
      <c r="C20" s="90"/>
      <c r="D20" s="91"/>
      <c r="E20" s="11">
        <f>E18/E19</f>
        <v>-99780.339750000043</v>
      </c>
      <c r="F20" s="22" t="s">
        <v>3</v>
      </c>
      <c r="G20" s="14"/>
      <c r="H20" s="28"/>
      <c r="I20" s="1"/>
    </row>
    <row r="21" spans="1:9" x14ac:dyDescent="0.25">
      <c r="A21" s="1"/>
      <c r="B21" s="92" t="s">
        <v>116</v>
      </c>
      <c r="C21" s="93"/>
      <c r="D21" s="93"/>
      <c r="E21" s="93"/>
      <c r="F21" s="94"/>
      <c r="G21" s="20">
        <f>E20</f>
        <v>-99780.339750000043</v>
      </c>
      <c r="H21" s="21" t="s">
        <v>3</v>
      </c>
      <c r="I21" s="1"/>
    </row>
    <row r="22" spans="1:9" x14ac:dyDescent="0.25">
      <c r="A22" s="1"/>
      <c r="B22" s="92" t="s">
        <v>117</v>
      </c>
      <c r="C22" s="93"/>
      <c r="D22" s="93"/>
      <c r="E22" s="93"/>
      <c r="F22" s="94"/>
      <c r="G22" s="20">
        <f>G21*(1+Prisudvikling2019)^4</f>
        <v>-106698.41491607254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139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140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107</v>
      </c>
      <c r="E9" s="18" t="s">
        <v>2</v>
      </c>
      <c r="F9" s="18" t="s">
        <v>86</v>
      </c>
      <c r="G9" s="18" t="s">
        <v>87</v>
      </c>
      <c r="H9" s="36"/>
      <c r="I9" s="1"/>
    </row>
    <row r="10" spans="1:9" ht="26.25" x14ac:dyDescent="0.25">
      <c r="A10" s="1"/>
      <c r="B10" s="61" t="s">
        <v>153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2" t="s">
        <v>141</v>
      </c>
      <c r="C11" s="93"/>
      <c r="D11" s="94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91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108</v>
      </c>
      <c r="G9" s="36"/>
      <c r="H9" s="1"/>
    </row>
    <row r="10" spans="1:8" x14ac:dyDescent="0.25">
      <c r="A10" s="1"/>
      <c r="B10" s="56" t="s">
        <v>140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63" t="s">
        <v>43</v>
      </c>
      <c r="C11" s="64"/>
      <c r="D11" s="58">
        <v>14958</v>
      </c>
      <c r="E11" s="22" t="s">
        <v>3</v>
      </c>
      <c r="F11" s="11">
        <v>0</v>
      </c>
      <c r="G11" s="22" t="s">
        <v>3</v>
      </c>
      <c r="H11" s="1"/>
    </row>
    <row r="12" spans="1:8" x14ac:dyDescent="0.25">
      <c r="A12" s="1"/>
      <c r="B12" s="38" t="s">
        <v>144</v>
      </c>
      <c r="C12" s="40"/>
      <c r="D12" s="20">
        <f>SUM(D10:D11)</f>
        <v>14958</v>
      </c>
      <c r="E12" s="21" t="s">
        <v>3</v>
      </c>
      <c r="F12" s="20">
        <f>SUM(F10:F11)</f>
        <v>0</v>
      </c>
      <c r="G12" s="21" t="s">
        <v>3</v>
      </c>
      <c r="H12" s="1"/>
    </row>
    <row r="13" spans="1:8" x14ac:dyDescent="0.25">
      <c r="A13" s="1"/>
      <c r="B13" s="38" t="s">
        <v>145</v>
      </c>
      <c r="C13" s="40"/>
      <c r="D13" s="20">
        <f>D12*(1+Prisudvikling2019)</f>
        <v>15210.790199999999</v>
      </c>
      <c r="E13" s="21" t="s">
        <v>3</v>
      </c>
      <c r="F13" s="20">
        <f>F12*(1+Prisudvikling2019)</f>
        <v>0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157</v>
      </c>
      <c r="C3" s="88"/>
      <c r="D3" s="88"/>
      <c r="E3" s="88"/>
      <c r="F3" s="88"/>
      <c r="G3" s="1"/>
    </row>
    <row r="4" spans="1:7" ht="25.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108</v>
      </c>
      <c r="F9" s="36"/>
      <c r="G9" s="1"/>
    </row>
    <row r="10" spans="1:7" x14ac:dyDescent="0.25">
      <c r="A10" s="1"/>
      <c r="B10" s="56" t="s">
        <v>155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142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143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158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2" width="45.570312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5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1705375.8291465584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Tillæg'!D13,'Fane 10. Tillæg'!F13)</f>
        <v>15210.790199999999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21915.335384541289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-29622.533230428693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1712879.421500671</v>
      </c>
      <c r="D15" s="18" t="s">
        <v>3</v>
      </c>
      <c r="E15" s="17">
        <f>C15</f>
        <v>1712879.421500671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146</v>
      </c>
      <c r="C17" s="11">
        <v>51038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147</v>
      </c>
      <c r="C18" s="11">
        <f>-(C17*(GenereltKrav))</f>
        <v>-867.64600000000007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3" t="s">
        <v>148</v>
      </c>
      <c r="C19" s="17">
        <f>SUM(C17:C18)</f>
        <v>50170.353999999999</v>
      </c>
      <c r="D19" s="18" t="s">
        <v>3</v>
      </c>
      <c r="E19" s="17">
        <f>C19</f>
        <v>50170.353999999999</v>
      </c>
      <c r="F19" s="18" t="s">
        <v>3</v>
      </c>
      <c r="G19" s="1"/>
    </row>
    <row r="20" spans="1:7" x14ac:dyDescent="0.25">
      <c r="A20" s="1"/>
      <c r="B20" s="44" t="s">
        <v>149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42" t="s">
        <v>147</v>
      </c>
      <c r="C21" s="11">
        <f>-C20*GenereltKrav</f>
        <v>0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3" t="s">
        <v>150</v>
      </c>
      <c r="C22" s="17">
        <f>SUM(C20:C21)</f>
        <v>0</v>
      </c>
      <c r="D22" s="18" t="s">
        <v>3</v>
      </c>
      <c r="E22" s="17">
        <f>C22</f>
        <v>0</v>
      </c>
      <c r="F22" s="18" t="s">
        <v>3</v>
      </c>
      <c r="G22" s="1"/>
    </row>
    <row r="23" spans="1:7" ht="15" customHeight="1" x14ac:dyDescent="0.25">
      <c r="A23" s="1"/>
      <c r="B23" s="38" t="s">
        <v>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2" t="s">
        <v>21</v>
      </c>
      <c r="C24" s="11">
        <f>'Fane 5. Ikke-påvirkelige omk.'!E13</f>
        <v>1514908.5324241396</v>
      </c>
      <c r="D24" s="8" t="s">
        <v>3</v>
      </c>
      <c r="E24" s="12"/>
      <c r="F24" s="13"/>
      <c r="G24" s="1"/>
    </row>
    <row r="25" spans="1:7" ht="15" customHeight="1" x14ac:dyDescent="0.25">
      <c r="A25" s="1"/>
      <c r="B25" s="42" t="s">
        <v>83</v>
      </c>
      <c r="C25" s="11">
        <v>0</v>
      </c>
      <c r="D25" s="8" t="s">
        <v>3</v>
      </c>
      <c r="E25" s="12"/>
      <c r="F25" s="13"/>
      <c r="G25" s="1"/>
    </row>
    <row r="26" spans="1:7" ht="15" customHeight="1" x14ac:dyDescent="0.25">
      <c r="A26" s="1"/>
      <c r="B26" s="29" t="s">
        <v>84</v>
      </c>
      <c r="C26" s="17">
        <f>SUM(C24:C25)</f>
        <v>1514908.5324241396</v>
      </c>
      <c r="D26" s="18" t="s">
        <v>3</v>
      </c>
      <c r="E26" s="17">
        <f>C26</f>
        <v>1514908.5324241396</v>
      </c>
      <c r="F26" s="18" t="s">
        <v>3</v>
      </c>
      <c r="G26" s="1"/>
    </row>
    <row r="27" spans="1:7" x14ac:dyDescent="0.25">
      <c r="A27" s="1"/>
      <c r="B27" s="38" t="s">
        <v>85</v>
      </c>
      <c r="C27" s="39"/>
      <c r="D27" s="39"/>
      <c r="E27" s="39"/>
      <c r="F27" s="40"/>
      <c r="G27" s="1"/>
    </row>
    <row r="28" spans="1:7" ht="15" customHeight="1" x14ac:dyDescent="0.25">
      <c r="A28" s="1"/>
      <c r="B28" s="41" t="s">
        <v>61</v>
      </c>
      <c r="C28" s="7">
        <v>0</v>
      </c>
      <c r="D28" s="8" t="s">
        <v>3</v>
      </c>
      <c r="E28" s="9"/>
      <c r="F28" s="10"/>
      <c r="G28" s="1"/>
    </row>
    <row r="29" spans="1:7" x14ac:dyDescent="0.25">
      <c r="A29" s="1"/>
      <c r="B29" s="41" t="s">
        <v>62</v>
      </c>
      <c r="C29" s="7"/>
      <c r="D29" s="8" t="s">
        <v>3</v>
      </c>
      <c r="E29" s="33"/>
      <c r="F29" s="13"/>
      <c r="G29" s="1"/>
    </row>
    <row r="30" spans="1:7" ht="15" customHeight="1" x14ac:dyDescent="0.25">
      <c r="A30" s="1"/>
      <c r="B30" s="42" t="s">
        <v>63</v>
      </c>
      <c r="C30" s="7">
        <v>7094.8463597840173</v>
      </c>
      <c r="D30" s="8" t="s">
        <v>3</v>
      </c>
      <c r="E30" s="32"/>
      <c r="F30" s="13"/>
      <c r="G30" s="1"/>
    </row>
    <row r="31" spans="1:7" x14ac:dyDescent="0.25">
      <c r="A31" s="1"/>
      <c r="B31" s="29" t="s">
        <v>64</v>
      </c>
      <c r="C31" s="17">
        <f>SUM(C28:C30)</f>
        <v>7094.8463597840173</v>
      </c>
      <c r="D31" s="18" t="s">
        <v>3</v>
      </c>
      <c r="E31" s="17">
        <f>C31</f>
        <v>7094.8463597840173</v>
      </c>
      <c r="F31" s="18" t="s">
        <v>3</v>
      </c>
      <c r="G31" s="1"/>
    </row>
    <row r="32" spans="1:7" x14ac:dyDescent="0.25">
      <c r="A32" s="1"/>
      <c r="B32" s="38" t="s">
        <v>15</v>
      </c>
      <c r="C32" s="39"/>
      <c r="D32" s="39"/>
      <c r="E32" s="39"/>
      <c r="F32" s="40"/>
      <c r="G32" s="1"/>
    </row>
    <row r="33" spans="1:7" x14ac:dyDescent="0.25">
      <c r="A33" s="1"/>
      <c r="B33" s="29" t="s">
        <v>23</v>
      </c>
      <c r="C33" s="17">
        <f>'Fane 7. Hist. over el. underdæk'!G13</f>
        <v>-155189</v>
      </c>
      <c r="D33" s="18" t="s">
        <v>3</v>
      </c>
      <c r="E33" s="17">
        <f>C33</f>
        <v>-155189</v>
      </c>
      <c r="F33" s="18" t="s">
        <v>3</v>
      </c>
      <c r="G33" s="1"/>
    </row>
    <row r="34" spans="1:7" x14ac:dyDescent="0.25">
      <c r="A34" s="1"/>
      <c r="B34" s="38" t="s">
        <v>35</v>
      </c>
      <c r="C34" s="39"/>
      <c r="D34" s="40"/>
      <c r="E34" s="20">
        <f>SUM(E15,E22,E26,E31,E33,E19)</f>
        <v>3129864.1542845946</v>
      </c>
      <c r="F34" s="2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855468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1712879.421500671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15204.899060955539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21817.429229114532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-29489.846462406353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1705207.0042673789</v>
      </c>
      <c r="D14" s="18" t="s">
        <v>3</v>
      </c>
      <c r="E14" s="17">
        <f>C14</f>
        <v>1705207.0042673789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4" t="s">
        <v>149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147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3" t="s">
        <v>150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1540510.4866221074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83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84</v>
      </c>
      <c r="C22" s="17">
        <f>SUM(C20:C21)</f>
        <v>1540510.4866221074</v>
      </c>
      <c r="D22" s="18" t="s">
        <v>3</v>
      </c>
      <c r="E22" s="17">
        <f>C22</f>
        <v>1540510.4866221074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-155189</v>
      </c>
      <c r="D24" s="18" t="s">
        <v>3</v>
      </c>
      <c r="E24" s="17">
        <f>C24</f>
        <v>-155189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3090528.4908894864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3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88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1705207.0042673789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28817.998372118702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-29478.425044871463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1704546.5775946262</v>
      </c>
      <c r="D13" s="18" t="s">
        <v>3</v>
      </c>
      <c r="E13" s="17">
        <f>C13</f>
        <v>1704546.5775946262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4" t="s">
        <v>149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147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3" t="s">
        <v>150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1566545.1138460208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83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84</v>
      </c>
      <c r="C21" s="17">
        <f>SUM(C19:C20)</f>
        <v>1566545.1138460208</v>
      </c>
      <c r="D21" s="18" t="s">
        <v>3</v>
      </c>
      <c r="E21" s="17">
        <f>C21</f>
        <v>1566545.1138460208</v>
      </c>
      <c r="F21" s="18" t="s">
        <v>3</v>
      </c>
      <c r="G21" s="1"/>
    </row>
    <row r="22" spans="1:7" x14ac:dyDescent="0.25">
      <c r="A22" s="1"/>
      <c r="B22" s="38" t="s">
        <v>122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154049.41424109024</v>
      </c>
      <c r="D23" s="18" t="s">
        <v>3</v>
      </c>
      <c r="E23" s="17">
        <f>C23</f>
        <v>154049.41424109024</v>
      </c>
      <c r="F23" s="18" t="s">
        <v>3</v>
      </c>
      <c r="G23" s="1"/>
    </row>
    <row r="24" spans="1:7" x14ac:dyDescent="0.25">
      <c r="A24" s="1"/>
      <c r="B24" s="38" t="s">
        <v>119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120</v>
      </c>
      <c r="C25" s="11">
        <f>'Fane 6. Korrektion prisloft 16'!G22</f>
        <v>-277646.7419800543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118</v>
      </c>
      <c r="C26" s="11">
        <f>'Fane 8. Kontrol af ØR2017'!G22</f>
        <v>-106698.41491607254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121</v>
      </c>
      <c r="C27" s="55">
        <f>SUM(C25:C26)</f>
        <v>-384345.15689612681</v>
      </c>
      <c r="D27" s="36" t="s">
        <v>3</v>
      </c>
      <c r="E27" s="17">
        <f>C27</f>
        <v>-384345.15689612681</v>
      </c>
      <c r="F27" s="18" t="s">
        <v>3</v>
      </c>
      <c r="G27" s="1"/>
    </row>
    <row r="28" spans="1:7" x14ac:dyDescent="0.25">
      <c r="A28" s="1"/>
      <c r="B28" s="38" t="s">
        <v>82</v>
      </c>
      <c r="C28" s="39"/>
      <c r="D28" s="40"/>
      <c r="E28" s="20">
        <f>SUM(E13,E17,E21,E23,E27)</f>
        <v>3040795.9487856105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5703125" style="2" customWidth="1"/>
    <col min="2" max="2" width="49.5703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89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1704546.5775946262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28806.83716134918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-29467.008050851582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1703886.4067051238</v>
      </c>
      <c r="D12" s="18" t="s">
        <v>3</v>
      </c>
      <c r="E12" s="17">
        <f>C12</f>
        <v>1703886.4067051238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4" t="s">
        <v>149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147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3" t="s">
        <v>150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1593019.7262700184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83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84</v>
      </c>
      <c r="C20" s="17">
        <f>SUM(C18:C19)</f>
        <v>1593019.7262700184</v>
      </c>
      <c r="D20" s="18" t="s">
        <v>3</v>
      </c>
      <c r="E20" s="17">
        <f>C20</f>
        <v>1593019.7262700184</v>
      </c>
      <c r="F20" s="18" t="s">
        <v>3</v>
      </c>
      <c r="G20" s="1"/>
    </row>
    <row r="21" spans="1:7" x14ac:dyDescent="0.25">
      <c r="A21" s="1"/>
      <c r="B21" s="38" t="s">
        <v>122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156652.84934176467</v>
      </c>
      <c r="D22" s="18" t="s">
        <v>3</v>
      </c>
      <c r="E22" s="17">
        <f>C22</f>
        <v>156652.84934176467</v>
      </c>
      <c r="F22" s="18" t="s">
        <v>3</v>
      </c>
      <c r="G22" s="1"/>
    </row>
    <row r="23" spans="1:7" ht="15" customHeight="1" x14ac:dyDescent="0.25">
      <c r="A23" s="1"/>
      <c r="B23" s="38" t="s">
        <v>119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120</v>
      </c>
      <c r="C24" s="11">
        <f>'Fane 2.3. Økonomisk ramme 2021'!C25*(1+Prisudvikling2019)</f>
        <v>-282338.97191951721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118</v>
      </c>
      <c r="C25" s="11">
        <f>'Fane 2.3. Økonomisk ramme 2021'!C26*(1+Prisudvikling2019)</f>
        <v>-108501.61812815415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-390840.59004767134</v>
      </c>
      <c r="D26" s="36" t="s">
        <v>3</v>
      </c>
      <c r="E26" s="17">
        <f>C26</f>
        <v>-390840.59004767134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3062718.3922692356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90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3209741.8916465584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1504366.0625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1705375.8291465584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635820.61540616932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1106906.3569221753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1742726.9723283446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635820.61540616932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1106906.3569221753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1742726.9723283446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0</v>
      </c>
      <c r="H22" s="22" t="s">
        <v>3</v>
      </c>
      <c r="I22" s="1"/>
    </row>
    <row r="23" spans="1:9" ht="15" customHeight="1" x14ac:dyDescent="0.25">
      <c r="A23" s="1"/>
      <c r="B23" s="48" t="s">
        <v>137</v>
      </c>
      <c r="C23" s="49"/>
      <c r="D23" s="49"/>
      <c r="E23" s="49"/>
      <c r="F23" s="50"/>
      <c r="G23" s="20">
        <f>SUM(G21:G22)</f>
        <v>0</v>
      </c>
      <c r="H23" s="21" t="s">
        <v>3</v>
      </c>
      <c r="I23" s="1"/>
    </row>
    <row r="24" spans="1:9" ht="15" customHeight="1" x14ac:dyDescent="0.25">
      <c r="A24" s="1"/>
      <c r="B24" s="48" t="s">
        <v>138</v>
      </c>
      <c r="C24" s="49"/>
      <c r="D24" s="49"/>
      <c r="E24" s="49"/>
      <c r="F24" s="50"/>
      <c r="G24" s="20">
        <f>G23*(1+Prisudvikling2019)^3</f>
        <v>0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109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131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106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151</v>
      </c>
      <c r="C10" s="46"/>
      <c r="D10" s="47"/>
      <c r="E10" s="11">
        <v>1461875</v>
      </c>
      <c r="F10" s="22" t="s">
        <v>3</v>
      </c>
      <c r="G10" s="1"/>
      <c r="H10" s="1"/>
    </row>
    <row r="11" spans="1:8" x14ac:dyDescent="0.25">
      <c r="A11" s="1"/>
      <c r="B11" s="41" t="s">
        <v>152</v>
      </c>
      <c r="C11" s="46"/>
      <c r="D11" s="47"/>
      <c r="E11" s="11">
        <v>3099</v>
      </c>
      <c r="F11" s="22" t="s">
        <v>3</v>
      </c>
      <c r="G11" s="1"/>
      <c r="H11" s="1"/>
    </row>
    <row r="12" spans="1:8" x14ac:dyDescent="0.25">
      <c r="A12" s="1"/>
      <c r="B12" s="38" t="s">
        <v>134</v>
      </c>
      <c r="C12" s="39"/>
      <c r="D12" s="40"/>
      <c r="E12" s="20">
        <f>SUM(E10:E11)</f>
        <v>1464974</v>
      </c>
      <c r="F12" s="21" t="s">
        <v>3</v>
      </c>
      <c r="G12" s="1"/>
      <c r="H12" s="1"/>
    </row>
    <row r="13" spans="1:8" x14ac:dyDescent="0.25">
      <c r="A13" s="1"/>
      <c r="B13" s="38" t="s">
        <v>135</v>
      </c>
      <c r="C13" s="39"/>
      <c r="D13" s="40"/>
      <c r="E13" s="20">
        <f>E12*(1+Prisudvikling2019)^2</f>
        <v>1514908.5324241396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122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5" t="s">
        <v>33</v>
      </c>
      <c r="C9" s="96"/>
      <c r="D9" s="97"/>
      <c r="E9" s="11">
        <v>566334</v>
      </c>
      <c r="F9" s="22" t="s">
        <v>3</v>
      </c>
      <c r="G9" s="19"/>
      <c r="H9" s="27"/>
      <c r="I9" s="1"/>
    </row>
    <row r="10" spans="1:9" x14ac:dyDescent="0.25">
      <c r="A10" s="1"/>
      <c r="B10" s="89" t="s">
        <v>113</v>
      </c>
      <c r="C10" s="90"/>
      <c r="D10" s="91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9" t="s">
        <v>123</v>
      </c>
      <c r="C11" s="90"/>
      <c r="D11" s="91"/>
      <c r="E11" s="11">
        <f>E9/E10</f>
        <v>141583.5</v>
      </c>
      <c r="F11" s="22" t="s">
        <v>3</v>
      </c>
      <c r="G11" s="14"/>
      <c r="H11" s="28"/>
      <c r="I11" s="1"/>
    </row>
    <row r="12" spans="1:9" x14ac:dyDescent="0.25">
      <c r="A12" s="1"/>
      <c r="B12" s="92" t="s">
        <v>129</v>
      </c>
      <c r="C12" s="93"/>
      <c r="D12" s="93"/>
      <c r="E12" s="93"/>
      <c r="F12" s="94"/>
      <c r="G12" s="20">
        <f>E11</f>
        <v>141583.5</v>
      </c>
      <c r="H12" s="21" t="s">
        <v>3</v>
      </c>
      <c r="I12" s="1"/>
    </row>
    <row r="13" spans="1:9" x14ac:dyDescent="0.25">
      <c r="A13" s="1"/>
      <c r="B13" s="92" t="s">
        <v>125</v>
      </c>
      <c r="C13" s="93"/>
      <c r="D13" s="93"/>
      <c r="E13" s="93"/>
      <c r="F13" s="94"/>
      <c r="G13" s="20">
        <f>G12*(1+Prisudvikling2018)*(1+Prisudvikling2019)^4</f>
        <v>154049.41424109024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120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95" t="s">
        <v>120</v>
      </c>
      <c r="C18" s="96"/>
      <c r="D18" s="97"/>
      <c r="E18" s="11">
        <v>-1020716.571673861</v>
      </c>
      <c r="F18" s="22" t="s">
        <v>3</v>
      </c>
      <c r="G18" s="14"/>
      <c r="H18" s="28"/>
      <c r="I18" s="1"/>
    </row>
    <row r="19" spans="1:9" x14ac:dyDescent="0.25">
      <c r="A19" s="1"/>
      <c r="B19" s="89" t="s">
        <v>113</v>
      </c>
      <c r="C19" s="90"/>
      <c r="D19" s="91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9" t="s">
        <v>124</v>
      </c>
      <c r="C20" s="90"/>
      <c r="D20" s="91"/>
      <c r="E20" s="11">
        <f>E18/E19</f>
        <v>-255179.14291846525</v>
      </c>
      <c r="F20" s="22" t="s">
        <v>3</v>
      </c>
      <c r="G20" s="14"/>
      <c r="H20" s="28"/>
      <c r="I20" s="1"/>
    </row>
    <row r="21" spans="1:9" x14ac:dyDescent="0.25">
      <c r="A21" s="1"/>
      <c r="B21" s="92" t="s">
        <v>129</v>
      </c>
      <c r="C21" s="93"/>
      <c r="D21" s="93"/>
      <c r="E21" s="93"/>
      <c r="F21" s="94"/>
      <c r="G21" s="20">
        <f>E20</f>
        <v>-255179.14291846525</v>
      </c>
      <c r="H21" s="21" t="s">
        <v>3</v>
      </c>
      <c r="I21" s="1"/>
    </row>
    <row r="22" spans="1:9" x14ac:dyDescent="0.25">
      <c r="A22" s="1"/>
      <c r="B22" s="92" t="s">
        <v>125</v>
      </c>
      <c r="C22" s="93"/>
      <c r="D22" s="93"/>
      <c r="E22" s="93"/>
      <c r="F22" s="94"/>
      <c r="G22" s="20">
        <f>G21*(1+Prisudvikling2018)*(1+Prisudvikling2019)^4</f>
        <v>-277646.7419800543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2018-08-27T12:56:23Z</dcterms:modified>
</cp:coreProperties>
</file>