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<sst xmlns="http://schemas.openxmlformats.org/spreadsheetml/2006/main" count="358" uniqueCount="158">
  <si>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</si>
  <si>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</si>
  <si>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</si>
  <si>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</si>
  <si>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</si>
  <si>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</si>
  <si>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</si>
  <si>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</si>
  <si>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</si>
  <si>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</si>
  <si>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</si>
  <si>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</si>
  <si>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</si>
  <si>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</si>
  <si>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</si>
  <si>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</si>
  <si>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</si>
  <si>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</si>
  <si>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</si>
  <si>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</si>
  <si>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</si>
  <si>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</si>
  <si>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</si>
  <si>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</si>
  <si>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</si>
  <si>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</si>
  <si>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</si>
  <si>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</si>
  <si>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</si>
  <si>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</si>
  <si>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</si>
  <si>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</si>
  <si>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</si>
  <si>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</si>
  <si>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</si>
  <si>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</si>
  <si>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</si>
  <si>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</si>
  <si>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</si>
  <si>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</si>
  <si>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</si>
  <si>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</si>
  <si>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</si>
  <si>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</si>
  <si>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</si>
  <si>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</si>
  <si>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</si>
  <si>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</si>
  <si>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</si>
  <si>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</si>
  <si>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</si>
  <si>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</si>
  <si>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</si>
  <si>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</si>
  <si>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</si>
  <si>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</si>
  <si>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</si>
  <si>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</si>
  <si>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</si>
  <si>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</si>
  <si>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</si>
  <si>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</si>
  <si>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</si>
  <si>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</si>
  <si>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</si>
  <si>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</si>
  <si>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</si>
  <si>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</si>
  <si>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</si>
  <si>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</si>
  <si>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</si>
  <si>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</si>
  <si>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</si>
  <si>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</si>
  <si>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</si>
  <si>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</si>
  <si>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</si>
  <si>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</si>
  <si>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</si>
  <si>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</si>
  <si>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</si>
  <si>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</si>
  <si>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</si>
  <si>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</si>
  <si>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</si>
  <si>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</si>
  <si>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</si>
  <si>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</si>
  <si>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</si>
  <si>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</si>
  <si>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</si>
  <si>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</si>
  <si>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</si>
  <si>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</si>
  <si>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</si>
  <si>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</si>
  <si>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</si>
  <si>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</si>
  <si>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</si>
  <si>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</si>
  <si>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</si>
  <si>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</si>
  <si>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</si>
  <si>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</si>
  <si>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</si>
  <si>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</si>
  <si>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</si>
  <si>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</si>
  <si>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</si>
  <si>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</si>
  <si>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</si>
  <si>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</si>
  <si>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</si>
  <si>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</si>
  <si>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</si>
  <si>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</si>
  <si>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</si>
  <si>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</si>
  <si>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</si>
  <si>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</si>
  <si>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</si>
  <si>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</si>
  <si>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</si>
  <si>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</si>
  <si>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</si>
  <si>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</si>
  <si>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</si>
  <si>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</si>
  <si>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</si>
  <si>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</si>
  <si>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</si>
  <si>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</si>
  <si>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</si>
  <si>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</si>
  <si>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</si>
  <si>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</si>
  <si>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</si>
  <si>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</si>
  <si>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</si>
  <si>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</si>
  <si>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</si>
  <si>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</si>
  <si>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</si>
  <si>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</si>
  <si>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</si>
  <si>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</si>
  <si>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Effektiviseringskrav</t>
  </si>
  <si>
    <t>Periodevise driftsomkostninger under prisloftsbekendtgørelsen</t>
  </si>
  <si>
    <t>Periodevise driftsomkostninger under PL-bekendtgørelsen i alt</t>
  </si>
  <si>
    <t>Afgift til Forsyningsekretariatet</t>
  </si>
  <si>
    <t>Skatter og afgifter</t>
  </si>
  <si>
    <t>Ingen anlægsprojekter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</si>
  <si>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</si>
  <si>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</si>
  <si>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</si>
  <si>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Afgift for ledningsført vand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</si>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</sst>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101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92</v>
      </c>
      <c r="D15" s="69" t="s">
        <v>95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93</v>
      </c>
      <c r="D16" s="69" t="s">
        <v>130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96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98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97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127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99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128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102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100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132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-2876081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-2294531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-581550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-290775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133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110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103</v>
      </c>
      <c r="C9" s="94"/>
      <c r="D9" s="95"/>
      <c r="E9" s="11">
        <v>427848.62759101531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104</v>
      </c>
      <c r="C10" s="94"/>
      <c r="D10" s="95"/>
      <c r="E10" s="11">
        <v>2128392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111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105</v>
      </c>
      <c r="C12" s="97"/>
      <c r="D12" s="98"/>
      <c r="E12" s="17">
        <f>E9-(E10-E11)</f>
        <v>-1700543.3724089847</v>
      </c>
      <c r="F12" s="25" t="s">
        <v>3</v>
      </c>
      <c r="G12" s="17">
        <f>E12</f>
        <v>-1700543.3724089847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115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112</v>
      </c>
      <c r="C18" s="88"/>
      <c r="D18" s="89"/>
      <c r="E18" s="11">
        <f>IF(E12&lt;0,E12,0)</f>
        <v>-1700543.3724089847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113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114</v>
      </c>
      <c r="C20" s="88"/>
      <c r="D20" s="89"/>
      <c r="E20" s="11">
        <f>E18/E19</f>
        <v>-425135.84310224617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116</v>
      </c>
      <c r="C21" s="91"/>
      <c r="D21" s="91"/>
      <c r="E21" s="91"/>
      <c r="F21" s="92"/>
      <c r="G21" s="20">
        <f>E20</f>
        <v>-425135.84310224617</v>
      </c>
      <c r="H21" s="21" t="s">
        <v>3</v>
      </c>
      <c r="I21" s="1"/>
    </row>
    <row r="22" spans="1:9" x14ac:dyDescent="0.25">
      <c r="A22" s="1"/>
      <c r="B22" s="90" t="s">
        <v>117</v>
      </c>
      <c r="C22" s="91"/>
      <c r="D22" s="91"/>
      <c r="E22" s="91"/>
      <c r="F22" s="92"/>
      <c r="G22" s="20">
        <f>G21*(1+Prisudvikling2019)^4</f>
        <v>-454611.80726253998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139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140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107</v>
      </c>
      <c r="E9" s="18" t="s">
        <v>2</v>
      </c>
      <c r="F9" s="18" t="s">
        <v>86</v>
      </c>
      <c r="G9" s="18" t="s">
        <v>87</v>
      </c>
      <c r="H9" s="36"/>
      <c r="I9" s="1"/>
    </row>
    <row r="10" spans="1:9" ht="26.25" x14ac:dyDescent="0.25">
      <c r="A10" s="1"/>
      <c r="B10" s="61" t="s">
        <v>151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141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91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108</v>
      </c>
      <c r="G9" s="36"/>
      <c r="H9" s="1"/>
    </row>
    <row r="10" spans="1:8" x14ac:dyDescent="0.25">
      <c r="A10" s="1"/>
      <c r="B10" s="56" t="s">
        <v>140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144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145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108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142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143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2" width="45.570312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5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1607512.9552642158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x14ac:dyDescent="0.25">
      <c r="A13" s="1"/>
      <c r="B13" s="42" t="s">
        <v>41</v>
      </c>
      <c r="C13" s="11">
        <f>(C9-C10)*Prisudvikling2017+C10*Prisudvikling2018+SUM(C11:C12)*Prisudvikling2019</f>
        <v>20415.414531855538</v>
      </c>
      <c r="D13" s="8" t="s">
        <v>3</v>
      </c>
      <c r="E13" s="12"/>
      <c r="F13" s="13"/>
      <c r="G13" s="1"/>
    </row>
    <row r="14" spans="1:7" x14ac:dyDescent="0.25">
      <c r="A14" s="1"/>
      <c r="B14" s="42" t="s">
        <v>14</v>
      </c>
      <c r="C14" s="11">
        <f>-SUM(C9,C11:C13)*GenereltKrav</f>
        <v>-27674.782286533216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1600253.5875095383</v>
      </c>
      <c r="D15" s="18" t="s">
        <v>3</v>
      </c>
      <c r="E15" s="17">
        <f>C15</f>
        <v>1600253.5875095383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8.75" customHeight="1" x14ac:dyDescent="0.25">
      <c r="A17" s="1"/>
      <c r="B17" s="44" t="s">
        <v>147</v>
      </c>
      <c r="C17" s="11">
        <v>0</v>
      </c>
      <c r="D17" s="8" t="s">
        <v>3</v>
      </c>
      <c r="E17" s="12"/>
      <c r="F17" s="13"/>
      <c r="G17" s="1"/>
    </row>
    <row r="18" spans="1:7" x14ac:dyDescent="0.25">
      <c r="A18" s="1"/>
      <c r="B18" s="42" t="s">
        <v>146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3" t="s">
        <v>148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x14ac:dyDescent="0.25">
      <c r="A21" s="1"/>
      <c r="B21" s="42" t="s">
        <v>21</v>
      </c>
      <c r="C21" s="11">
        <f>'Fane 5. Ikke-påvirkelige omk.'!E14</f>
        <v>734644.40582668979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83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84</v>
      </c>
      <c r="C23" s="17">
        <f>SUM(C21:C22)</f>
        <v>734644.40582668979</v>
      </c>
      <c r="D23" s="18" t="s">
        <v>3</v>
      </c>
      <c r="E23" s="17">
        <f>C23</f>
        <v>734644.40582668979</v>
      </c>
      <c r="F23" s="18" t="s">
        <v>3</v>
      </c>
      <c r="G23" s="1"/>
    </row>
    <row r="24" spans="1:7" x14ac:dyDescent="0.25">
      <c r="A24" s="1"/>
      <c r="B24" s="38" t="s">
        <v>85</v>
      </c>
      <c r="C24" s="39"/>
      <c r="D24" s="39"/>
      <c r="E24" s="39"/>
      <c r="F24" s="40"/>
      <c r="G24" s="1"/>
    </row>
    <row r="25" spans="1:7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6.25" x14ac:dyDescent="0.25">
      <c r="A27" s="1"/>
      <c r="B27" s="42" t="s">
        <v>63</v>
      </c>
      <c r="C27" s="7">
        <v>3870.1760879196936</v>
      </c>
      <c r="D27" s="8" t="s">
        <v>3</v>
      </c>
      <c r="E27" s="32"/>
      <c r="F27" s="13"/>
      <c r="G27" s="1"/>
    </row>
    <row r="28" spans="1:7" ht="19.5" customHeight="1" x14ac:dyDescent="0.25">
      <c r="A28" s="1"/>
      <c r="B28" s="29" t="s">
        <v>64</v>
      </c>
      <c r="C28" s="17">
        <f>SUM(C25:C27)</f>
        <v>3870.1760879196936</v>
      </c>
      <c r="D28" s="18" t="s">
        <v>3</v>
      </c>
      <c r="E28" s="17">
        <f>C28</f>
        <v>3870.1760879196936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x14ac:dyDescent="0.25">
      <c r="A30" s="1"/>
      <c r="B30" s="29" t="s">
        <v>23</v>
      </c>
      <c r="C30" s="17">
        <f>'Fane 7. Hist. over el. underdæk'!G13</f>
        <v>-290775</v>
      </c>
      <c r="D30" s="18" t="s">
        <v>3</v>
      </c>
      <c r="E30" s="17">
        <f>C30</f>
        <v>-290775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2047993.1694241478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855468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1600253.5875095383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20323.220561371134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-27549.805737205465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1593027.0023337039</v>
      </c>
      <c r="D14" s="18" t="s">
        <v>3</v>
      </c>
      <c r="E14" s="17">
        <f>C14</f>
        <v>1593027.0023337039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4" t="s">
        <v>147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146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3" t="s">
        <v>148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747059.89628516079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83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84</v>
      </c>
      <c r="C22" s="17">
        <f>SUM(C20:C21)</f>
        <v>747059.89628516079</v>
      </c>
      <c r="D22" s="18" t="s">
        <v>3</v>
      </c>
      <c r="E22" s="17">
        <f>C22</f>
        <v>747059.89628516079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-290775</v>
      </c>
      <c r="D24" s="18" t="s">
        <v>3</v>
      </c>
      <c r="E24" s="17">
        <f>C24</f>
        <v>-290775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2049311.8986188648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3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88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1593027.0023337039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1629.322229471084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26949.691885117656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-27567.302279620977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1594038.7141686718</v>
      </c>
      <c r="D13" s="18" t="s">
        <v>3</v>
      </c>
      <c r="E13" s="17">
        <f>C13</f>
        <v>1594038.7141686718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4" t="s">
        <v>147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146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3" t="s">
        <v>148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759685.20853237994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83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84</v>
      </c>
      <c r="C21" s="17">
        <f>SUM(C19:C20)</f>
        <v>759685.20853237994</v>
      </c>
      <c r="D21" s="18" t="s">
        <v>3</v>
      </c>
      <c r="E21" s="17">
        <f>C21</f>
        <v>759685.20853237994</v>
      </c>
      <c r="F21" s="18" t="s">
        <v>3</v>
      </c>
      <c r="G21" s="1"/>
    </row>
    <row r="22" spans="1:7" x14ac:dyDescent="0.25">
      <c r="A22" s="1"/>
      <c r="B22" s="38" t="s">
        <v>122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-1209.0915366226398</v>
      </c>
      <c r="D23" s="18" t="s">
        <v>3</v>
      </c>
      <c r="E23" s="17">
        <f>C23</f>
        <v>-1209.0915366226398</v>
      </c>
      <c r="F23" s="18" t="s">
        <v>3</v>
      </c>
      <c r="G23" s="1"/>
    </row>
    <row r="24" spans="1:7" x14ac:dyDescent="0.25">
      <c r="A24" s="1"/>
      <c r="B24" s="38" t="s">
        <v>119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120</v>
      </c>
      <c r="C25" s="11">
        <f>'Fane 6. Korrektion prisloft 16'!G22</f>
        <v>-348209.15173360525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118</v>
      </c>
      <c r="C26" s="11">
        <f>'Fane 8. Kontrol af ØR2017'!G22</f>
        <v>-454611.80726253998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121</v>
      </c>
      <c r="C27" s="55">
        <f>SUM(C25:C26)</f>
        <v>-802820.95899614529</v>
      </c>
      <c r="D27" s="36" t="s">
        <v>3</v>
      </c>
      <c r="E27" s="17">
        <f>C27</f>
        <v>-802820.95899614529</v>
      </c>
      <c r="F27" s="18" t="s">
        <v>3</v>
      </c>
      <c r="G27" s="1"/>
    </row>
    <row r="28" spans="1:7" x14ac:dyDescent="0.25">
      <c r="A28" s="1"/>
      <c r="B28" s="38" t="s">
        <v>82</v>
      </c>
      <c r="C28" s="39"/>
      <c r="D28" s="40"/>
      <c r="E28" s="20">
        <f>SUM(E13,E17,E21,E23,E27)</f>
        <v>1549693.8721682837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5703125" style="2" customWidth="1"/>
    <col min="2" max="2" width="49.5703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89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1594038.7141686718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26939.25426945055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-27556.625463448079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1593421.3429746742</v>
      </c>
      <c r="D12" s="18" t="s">
        <v>3</v>
      </c>
      <c r="E12" s="17">
        <f>C12</f>
        <v>1593421.3429746742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4" t="s">
        <v>147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146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3" t="s">
        <v>148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772523.88855657703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83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84</v>
      </c>
      <c r="C20" s="17">
        <f>SUM(C18:C19)</f>
        <v>772523.88855657703</v>
      </c>
      <c r="D20" s="18" t="s">
        <v>3</v>
      </c>
      <c r="E20" s="17">
        <f>C20</f>
        <v>772523.88855657703</v>
      </c>
      <c r="F20" s="18" t="s">
        <v>3</v>
      </c>
      <c r="G20" s="1"/>
    </row>
    <row r="21" spans="1:7" x14ac:dyDescent="0.25">
      <c r="A21" s="1"/>
      <c r="B21" s="38" t="s">
        <v>122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-1229.5251835915622</v>
      </c>
      <c r="D22" s="18" t="s">
        <v>3</v>
      </c>
      <c r="E22" s="17">
        <f>C22</f>
        <v>-1229.5251835915622</v>
      </c>
      <c r="F22" s="18" t="s">
        <v>3</v>
      </c>
      <c r="G22" s="1"/>
    </row>
    <row r="23" spans="1:7" ht="15" customHeight="1" x14ac:dyDescent="0.25">
      <c r="A23" s="1"/>
      <c r="B23" s="38" t="s">
        <v>119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120</v>
      </c>
      <c r="C24" s="11">
        <f>'Fane 2.3. Økonomisk ramme 2021'!C25*(1+Prisudvikling2019)</f>
        <v>-354093.88639790314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118</v>
      </c>
      <c r="C25" s="11">
        <f>'Fane 2.3. Økonomisk ramme 2021'!C26*(1+Prisudvikling2019)</f>
        <v>-462294.74680527684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-816388.63320318004</v>
      </c>
      <c r="D26" s="36" t="s">
        <v>3</v>
      </c>
      <c r="E26" s="17">
        <f>C26</f>
        <v>-816388.63320318004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1548327.0731444797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90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2332269.8593983068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724756.90413409099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1607512.9552642158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136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791328.40674788051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851425.92928554269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1642754.3360334232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791328.40674788051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852975.36028554256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1644303.7670334231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1549.4309999998659</v>
      </c>
      <c r="H22" s="22" t="s">
        <v>3</v>
      </c>
      <c r="I22" s="1"/>
    </row>
    <row r="23" spans="1:9" ht="15" customHeight="1" x14ac:dyDescent="0.25">
      <c r="A23" s="1"/>
      <c r="B23" s="48" t="s">
        <v>137</v>
      </c>
      <c r="C23" s="49"/>
      <c r="D23" s="49"/>
      <c r="E23" s="49"/>
      <c r="F23" s="50"/>
      <c r="G23" s="20">
        <f>SUM(G21:G22)</f>
        <v>1549.4309999998659</v>
      </c>
      <c r="H23" s="21" t="s">
        <v>3</v>
      </c>
      <c r="I23" s="1"/>
    </row>
    <row r="24" spans="1:9" ht="15" customHeight="1" x14ac:dyDescent="0.25">
      <c r="A24" s="1"/>
      <c r="B24" s="48" t="s">
        <v>138</v>
      </c>
      <c r="C24" s="49"/>
      <c r="D24" s="49"/>
      <c r="E24" s="49"/>
      <c r="F24" s="50"/>
      <c r="G24" s="20">
        <f>G23*(1+Prisudvikling2019)^3</f>
        <v>1629.322229471084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109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131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106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155</v>
      </c>
      <c r="C10" s="46"/>
      <c r="D10" s="47"/>
      <c r="E10" s="11">
        <v>694113</v>
      </c>
      <c r="F10" s="22" t="s">
        <v>3</v>
      </c>
      <c r="G10" s="1"/>
      <c r="H10" s="1"/>
    </row>
    <row r="11" spans="1:8" x14ac:dyDescent="0.25">
      <c r="A11" s="1"/>
      <c r="B11" s="41" t="s">
        <v>149</v>
      </c>
      <c r="C11" s="46"/>
      <c r="D11" s="47"/>
      <c r="E11" s="11">
        <v>14152</v>
      </c>
      <c r="F11" s="22" t="s">
        <v>3</v>
      </c>
      <c r="G11" s="1"/>
      <c r="H11" s="1"/>
    </row>
    <row r="12" spans="1:8" x14ac:dyDescent="0.25">
      <c r="A12" s="1"/>
      <c r="B12" s="41" t="s">
        <v>150</v>
      </c>
      <c r="C12" s="46"/>
      <c r="D12" s="47"/>
      <c r="E12" s="11">
        <v>2164</v>
      </c>
      <c r="F12" s="22" t="s">
        <v>3</v>
      </c>
      <c r="G12" s="1"/>
      <c r="H12" s="1"/>
    </row>
    <row r="13" spans="1:8" x14ac:dyDescent="0.25">
      <c r="A13" s="1"/>
      <c r="B13" s="38" t="s">
        <v>134</v>
      </c>
      <c r="C13" s="39"/>
      <c r="D13" s="40"/>
      <c r="E13" s="20">
        <f>SUM(E10:E12)</f>
        <v>710429</v>
      </c>
      <c r="F13" s="21" t="s">
        <v>3</v>
      </c>
      <c r="G13" s="1"/>
      <c r="H13" s="1"/>
    </row>
    <row r="14" spans="1:8" x14ac:dyDescent="0.25">
      <c r="A14" s="1"/>
      <c r="B14" s="38" t="s">
        <v>135</v>
      </c>
      <c r="C14" s="39"/>
      <c r="D14" s="40"/>
      <c r="E14" s="20">
        <f>E13*(1+Prisudvikling2019)^2</f>
        <v>734644.40582668979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-4445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113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123</v>
      </c>
      <c r="C11" s="88"/>
      <c r="D11" s="89"/>
      <c r="E11" s="11">
        <f>E9/E10</f>
        <v>-1111.25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129</v>
      </c>
      <c r="C12" s="91"/>
      <c r="D12" s="91"/>
      <c r="E12" s="91"/>
      <c r="F12" s="92"/>
      <c r="G12" s="20">
        <f>E11</f>
        <v>-1111.25</v>
      </c>
      <c r="H12" s="21" t="s">
        <v>3</v>
      </c>
      <c r="I12" s="1"/>
    </row>
    <row r="13" spans="1:9" x14ac:dyDescent="0.25">
      <c r="A13" s="1"/>
      <c r="B13" s="90" t="s">
        <v>125</v>
      </c>
      <c r="C13" s="91"/>
      <c r="D13" s="91"/>
      <c r="E13" s="91"/>
      <c r="F13" s="92"/>
      <c r="G13" s="20">
        <f>G12*(1+Prisudvikling2018)*(1+Prisudvikling2019)^4</f>
        <v>-1209.0915366226398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120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120</v>
      </c>
      <c r="C18" s="94"/>
      <c r="D18" s="95"/>
      <c r="E18" s="11">
        <v>-1280126.1381576802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113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124</v>
      </c>
      <c r="C20" s="88"/>
      <c r="D20" s="89"/>
      <c r="E20" s="11">
        <f>E18/E19</f>
        <v>-320031.53453942004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129</v>
      </c>
      <c r="C21" s="91"/>
      <c r="D21" s="91"/>
      <c r="E21" s="91"/>
      <c r="F21" s="92"/>
      <c r="G21" s="20">
        <f>E20</f>
        <v>-320031.53453942004</v>
      </c>
      <c r="H21" s="21" t="s">
        <v>3</v>
      </c>
      <c r="I21" s="1"/>
    </row>
    <row r="22" spans="1:9" x14ac:dyDescent="0.25">
      <c r="A22" s="1"/>
      <c r="B22" s="90" t="s">
        <v>125</v>
      </c>
      <c r="C22" s="91"/>
      <c r="D22" s="91"/>
      <c r="E22" s="91"/>
      <c r="F22" s="92"/>
      <c r="G22" s="20">
        <f>G21*(1+Prisudvikling2018)*(1+Prisudvikling2019)^4</f>
        <v>-348209.15173360525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2018-08-27T13:06:00Z</dcterms:modified>
</cp:coreProperties>
</file>