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8" i="22" l="1"/>
  <c r="C18" i="15"/>
  <c r="C28" i="2"/>
  <c r="C24" i="2"/>
  <c r="C13" i="15" l="1"/>
  <c r="F11" i="20" l="1"/>
  <c r="E11" i="11" l="1"/>
  <c r="E12" i="11"/>
  <c r="E13" i="11"/>
  <c r="E14" i="11"/>
  <c r="E15" i="11"/>
  <c r="E16" i="11"/>
  <c r="E17" i="11"/>
  <c r="E18" i="11"/>
  <c r="E19" i="11"/>
  <c r="E12" i="34" l="1"/>
  <c r="E18" i="34" l="1"/>
  <c r="E20" i="34" s="1"/>
  <c r="G21" i="34" s="1"/>
  <c r="G22" i="34" s="1"/>
  <c r="C23" i="23" s="1"/>
  <c r="E23" i="23" s="1"/>
  <c r="C16" i="23" l="1"/>
  <c r="C21" i="22"/>
  <c r="C21" i="15"/>
  <c r="C23" i="2"/>
  <c r="G12" i="34" l="1"/>
  <c r="G10" i="30" l="1"/>
  <c r="C16" i="2" s="1"/>
  <c r="C14" i="15" s="1"/>
  <c r="C14" i="22" s="1"/>
  <c r="G12" i="30"/>
  <c r="C17" i="2" s="1"/>
  <c r="C15" i="15" s="1"/>
  <c r="C15" i="22" s="1"/>
  <c r="E10" i="11" l="1"/>
  <c r="G22" i="11"/>
  <c r="F22" i="11"/>
  <c r="D10" i="20" s="1"/>
  <c r="C33" i="2" l="1"/>
  <c r="C17" i="23" l="1"/>
  <c r="E17" i="23" s="1"/>
  <c r="C22" i="22" l="1"/>
  <c r="E22" i="22" s="1"/>
  <c r="C22" i="15"/>
  <c r="E22" i="15" s="1"/>
  <c r="E24" i="2"/>
  <c r="G13" i="27"/>
  <c r="D12" i="20" l="1"/>
  <c r="F11" i="21"/>
  <c r="F12" i="21" s="1"/>
  <c r="C13" i="2" s="1"/>
  <c r="D11" i="21"/>
  <c r="D12" i="21" s="1"/>
  <c r="C12" i="2" s="1"/>
  <c r="C9" i="2"/>
  <c r="E13" i="19"/>
  <c r="E14" i="19" s="1"/>
  <c r="C26" i="2" l="1"/>
  <c r="E28" i="2" s="1"/>
  <c r="C24" i="22"/>
  <c r="C26" i="22" s="1"/>
  <c r="E26" i="22" s="1"/>
  <c r="C19" i="23"/>
  <c r="C24" i="15"/>
  <c r="C26" i="15" l="1"/>
  <c r="E26" i="15" s="1"/>
  <c r="C21" i="23"/>
  <c r="E21" i="23" s="1"/>
  <c r="G11" i="10"/>
  <c r="E33" i="2" l="1"/>
  <c r="G13" i="10"/>
  <c r="C28" i="15" s="1"/>
  <c r="E21" i="11"/>
  <c r="E28" i="15" l="1"/>
  <c r="D13" i="20"/>
  <c r="C10" i="2" s="1"/>
  <c r="C10" i="15" l="1"/>
  <c r="C10" i="22" s="1"/>
  <c r="C18" i="2"/>
  <c r="C16" i="15" s="1"/>
  <c r="C16" i="22" s="1"/>
  <c r="C11" i="23" s="1"/>
  <c r="E20" i="11"/>
  <c r="E22" i="11" l="1"/>
  <c r="F10" i="20" s="1"/>
  <c r="F12" i="20" s="1"/>
  <c r="F13" i="20" s="1"/>
  <c r="C11" i="2" s="1"/>
  <c r="C35" i="2"/>
  <c r="E35" i="2" s="1"/>
  <c r="C11" i="15" l="1"/>
  <c r="C11" i="22" s="1"/>
  <c r="C19" i="2"/>
  <c r="C17" i="15" s="1"/>
  <c r="C17" i="22" s="1"/>
  <c r="C12" i="23" s="1"/>
  <c r="C14" i="2"/>
  <c r="C15" i="2" l="1"/>
  <c r="C20" i="2" s="1"/>
  <c r="E20" i="2" s="1"/>
  <c r="E36" i="2" s="1"/>
  <c r="C9" i="15" l="1"/>
  <c r="C12" i="15" s="1"/>
  <c r="E18" i="15" l="1"/>
  <c r="E29" i="15" s="1"/>
  <c r="C9" i="22" l="1"/>
  <c r="C12" i="22" l="1"/>
  <c r="C13" i="22" s="1"/>
  <c r="E18" i="22" l="1"/>
  <c r="E27" i="22" s="1"/>
  <c r="C8" i="23" l="1"/>
  <c r="C9" i="23" l="1"/>
  <c r="C10" i="23" s="1"/>
  <c r="C13" i="23" l="1"/>
  <c r="E13" i="23" s="1"/>
  <c r="E24" i="23" s="1"/>
</calcChain>
</file>

<file path=xl/sharedStrings.xml><?xml version="1.0" encoding="utf-8"?>
<sst xmlns="http://schemas.openxmlformats.org/spreadsheetml/2006/main" count="358" uniqueCount="157">
  <si>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</si>
  <si>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</si>
  <si>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</si>
  <si>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</si>
  <si>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</si>
  <si>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</si>
  <si>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</si>
  <si>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</si>
  <si>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</si>
  <si>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</si>
  <si>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</si>
  <si>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</si>
  <si>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</si>
  <si>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</si>
  <si>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</si>
  <si>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</si>
  <si>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</si>
  <si>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</si>
  <si>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</si>
  <si>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</si>
  <si>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</si>
  <si>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</si>
  <si>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</si>
  <si>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</si>
  <si>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</si>
  <si>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</si>
  <si>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</si>
  <si>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</si>
  <si>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</si>
  <si>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</si>
  <si>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</si>
  <si>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</si>
  <si>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</si>
  <si>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</si>
  <si>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</si>
  <si>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</si>
  <si>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</si>
  <si>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</si>
  <si>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</si>
  <si>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</si>
  <si>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</si>
  <si>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</si>
  <si>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</si>
  <si>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</si>
  <si>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</si>
  <si>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</si>
  <si>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</si>
  <si>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</si>
  <si>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</si>
  <si>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</si>
  <si>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</si>
  <si>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</si>
  <si>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</si>
  <si>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</si>
  <si>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</si>
  <si>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</si>
  <si>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</si>
  <si>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</si>
  <si>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</si>
  <si>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</si>
  <si>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</si>
  <si>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</si>
  <si>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</si>
  <si>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</si>
  <si>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</si>
  <si>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</si>
  <si>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</si>
  <si>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</si>
  <si>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</si>
  <si>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</si>
  <si>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</si>
  <si>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</si>
  <si>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</si>
  <si>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</si>
  <si>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</si>
  <si>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</si>
  <si>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</si>
  <si>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</si>
  <si>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</si>
  <si>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</si>
  <si>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</si>
  <si>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</si>
  <si>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</si>
  <si>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</si>
  <si>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</si>
  <si>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</si>
  <si>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</si>
  <si>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</si>
  <si>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</si>
  <si>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</si>
  <si>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</si>
  <si>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</si>
  <si>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</si>
  <si>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</si>
  <si>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</si>
  <si>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</si>
  <si>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</si>
  <si>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</si>
  <si>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</si>
  <si>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</si>
  <si>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</si>
  <si>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</si>
  <si>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</si>
  <si>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</si>
  <si>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</si>
  <si>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</si>
  <si>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</si>
  <si>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</si>
  <si>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</si>
  <si>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</si>
  <si>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</si>
  <si>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</si>
  <si>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Kontrol med overholdelse af den økonomiske ramme for 2017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</si>
  <si>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</si>
  <si>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</si>
  <si>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</si>
  <si>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</si>
  <si>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</si>
  <si>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</si>
  <si>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</si>
  <si>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</si>
  <si>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</si>
  <si>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</si>
  <si>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</si>
  <si>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</si>
  <si>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</si>
  <si>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</si>
  <si>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</si>
  <si>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Generelt effektiviseringskrav på videreførte omkostninger - Drift</t>
  </si>
  <si>
    <t>Generelt effektiviseringskrav på videreførte omkostninger - Anlæg</t>
  </si>
  <si>
    <t>Generelt effektiviseringskrav på nye omkostninger - Drift</t>
  </si>
  <si>
    <t>Generelt effektiviseringskrav på nye omkostninger - Anlæg</t>
  </si>
  <si>
    <t xml:space="preserve"> -Heraf nye omkostninger i ØR19 - Drift</t>
  </si>
  <si>
    <t xml:space="preserve"> -Heraf nye omkostninger i ØR19 - Anlæg</t>
  </si>
  <si>
    <t>Generelt effektiviseringskrav anvendt til drift i ØR18-ØR21</t>
  </si>
  <si>
    <t>Generelt effektiviseringskrav anvendt til anlæg i ØR18-ØR21</t>
  </si>
  <si>
    <t>Til indregning i de økonomiske rammer for 2022-2025</t>
  </si>
  <si>
    <t>Fradrag i den økonomiske ramme for 2022-2025 i alt (2017-prisniveau)</t>
  </si>
  <si>
    <t>Fradrag i den økonomiske ramme for 2022-2025 i alt (2022-prisniveau)</t>
  </si>
  <si>
    <t>Periodevise driftsomkostninger under prisloftsbekendtgørelsen</t>
  </si>
  <si>
    <t>Slutafvanding, slam - højteknologisk (centrifuger), Mek/El</t>
  </si>
  <si>
    <t>Beluftningstanke, Konstruktioner</t>
  </si>
  <si>
    <t>Arbejdsplads</t>
  </si>
  <si>
    <t>Indløb-/udløbsarrangement</t>
  </si>
  <si>
    <t>Ø 500 mm &lt; Ledningsnet ≤ Ø 800 mm</t>
  </si>
  <si>
    <t>Kælder</t>
  </si>
  <si>
    <t>Stik</t>
  </si>
  <si>
    <t>Indløb med riste, Mek/EL</t>
  </si>
  <si>
    <t>Pumpestationer m. overbygning (&lt; 20 m2), Mek/EL</t>
  </si>
  <si>
    <t>Jordbassin Klasse A</t>
  </si>
  <si>
    <t>Ingen bortfald eller nedsættelse</t>
  </si>
  <si>
    <t xml:space="preserve">Flytning af en spildevandstrykledning </t>
  </si>
  <si>
    <t>Spildevandsafgift</t>
  </si>
  <si>
    <t>Afgift til Forsyningsekretariatet</t>
  </si>
  <si>
    <t>Undersøgelsesudgifter i forbindelse med fusion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</si>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</sst>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49" fontId="8" fillId="9" borderId="10" xfId="0" applyNumberFormat="1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6" t="s">
        <v>3</v>
      </c>
      <c r="E6" s="86"/>
      <c r="F6" s="86"/>
      <c r="G6" s="86"/>
      <c r="H6" s="3"/>
      <c r="I6" s="1"/>
    </row>
    <row r="7" spans="1:9" ht="15" customHeight="1" x14ac:dyDescent="0.25">
      <c r="A7" s="1"/>
      <c r="B7" s="1"/>
      <c r="C7" s="3"/>
      <c r="D7" s="86"/>
      <c r="E7" s="86"/>
      <c r="F7" s="86"/>
      <c r="G7" s="86"/>
      <c r="H7" s="3"/>
      <c r="I7" s="1"/>
    </row>
    <row r="8" spans="1:9" ht="15.75" x14ac:dyDescent="0.25">
      <c r="A8" s="1"/>
      <c r="B8" s="1"/>
      <c r="C8" s="4"/>
      <c r="D8" s="88" t="s">
        <v>118</v>
      </c>
      <c r="E8" s="88"/>
      <c r="F8" s="88"/>
      <c r="G8" s="8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7" t="s">
        <v>4</v>
      </c>
      <c r="E11" s="87"/>
      <c r="F11" s="87"/>
      <c r="G11" s="8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83" t="s">
        <v>31</v>
      </c>
      <c r="E13" s="84"/>
      <c r="F13" s="84"/>
      <c r="G13" s="85"/>
      <c r="H13" s="1"/>
      <c r="I13" s="1"/>
    </row>
    <row r="14" spans="1:9" x14ac:dyDescent="0.25">
      <c r="A14" s="1"/>
      <c r="B14" s="1"/>
      <c r="C14" s="6" t="s">
        <v>30</v>
      </c>
      <c r="D14" s="83" t="s">
        <v>93</v>
      </c>
      <c r="E14" s="84"/>
      <c r="F14" s="84"/>
      <c r="G14" s="85"/>
      <c r="H14" s="1"/>
      <c r="I14" s="1"/>
    </row>
    <row r="15" spans="1:9" x14ac:dyDescent="0.25">
      <c r="A15" s="1"/>
      <c r="B15" s="1"/>
      <c r="C15" s="6" t="s">
        <v>92</v>
      </c>
      <c r="D15" s="83" t="s">
        <v>95</v>
      </c>
      <c r="E15" s="84"/>
      <c r="F15" s="84"/>
      <c r="G15" s="85"/>
      <c r="H15" s="1"/>
      <c r="I15" s="1"/>
    </row>
    <row r="16" spans="1:9" x14ac:dyDescent="0.25">
      <c r="A16" s="1"/>
      <c r="B16" s="1"/>
      <c r="C16" s="6" t="s">
        <v>94</v>
      </c>
      <c r="D16" s="83" t="s">
        <v>119</v>
      </c>
      <c r="E16" s="84"/>
      <c r="F16" s="84"/>
      <c r="G16" s="85"/>
      <c r="H16" s="1"/>
      <c r="I16" s="1"/>
    </row>
    <row r="17" spans="1:9" x14ac:dyDescent="0.25">
      <c r="A17" s="1"/>
      <c r="B17" s="1"/>
      <c r="C17" s="6" t="s">
        <v>6</v>
      </c>
      <c r="D17" s="89" t="s">
        <v>96</v>
      </c>
      <c r="E17" s="90"/>
      <c r="F17" s="90"/>
      <c r="G17" s="91"/>
      <c r="H17" s="1"/>
      <c r="I17" s="1"/>
    </row>
    <row r="18" spans="1:9" x14ac:dyDescent="0.25">
      <c r="A18" s="1"/>
      <c r="B18" s="1"/>
      <c r="C18" s="6" t="s">
        <v>7</v>
      </c>
      <c r="D18" s="89" t="s">
        <v>97</v>
      </c>
      <c r="E18" s="90"/>
      <c r="F18" s="90"/>
      <c r="G18" s="91"/>
      <c r="H18" s="1"/>
      <c r="I18" s="1"/>
    </row>
    <row r="19" spans="1:9" x14ac:dyDescent="0.25">
      <c r="A19" s="1"/>
      <c r="B19" s="1"/>
      <c r="C19" s="6" t="s">
        <v>8</v>
      </c>
      <c r="D19" s="74" t="s">
        <v>101</v>
      </c>
      <c r="E19" s="75"/>
      <c r="F19" s="75"/>
      <c r="G19" s="76"/>
      <c r="H19" s="1"/>
      <c r="I19" s="1"/>
    </row>
    <row r="20" spans="1:9" x14ac:dyDescent="0.25">
      <c r="A20" s="1"/>
      <c r="B20" s="1"/>
      <c r="C20" s="6" t="s">
        <v>9</v>
      </c>
      <c r="D20" s="77" t="s">
        <v>98</v>
      </c>
      <c r="E20" s="78"/>
      <c r="F20" s="78"/>
      <c r="G20" s="79"/>
      <c r="H20" s="1"/>
      <c r="I20" s="1"/>
    </row>
    <row r="21" spans="1:9" x14ac:dyDescent="0.25">
      <c r="A21" s="1"/>
      <c r="B21" s="1"/>
      <c r="C21" s="6" t="s">
        <v>10</v>
      </c>
      <c r="D21" s="77" t="s">
        <v>117</v>
      </c>
      <c r="E21" s="78"/>
      <c r="F21" s="78"/>
      <c r="G21" s="79"/>
      <c r="H21" s="1"/>
      <c r="I21" s="1"/>
    </row>
    <row r="22" spans="1:9" x14ac:dyDescent="0.25">
      <c r="A22" s="1"/>
      <c r="B22" s="1"/>
      <c r="C22" s="6" t="s">
        <v>11</v>
      </c>
      <c r="D22" s="77" t="s">
        <v>102</v>
      </c>
      <c r="E22" s="78"/>
      <c r="F22" s="78"/>
      <c r="G22" s="79"/>
      <c r="H22" s="1"/>
      <c r="I22" s="1"/>
    </row>
    <row r="23" spans="1:9" x14ac:dyDescent="0.25">
      <c r="A23" s="1"/>
      <c r="B23" s="1"/>
      <c r="C23" s="6" t="s">
        <v>12</v>
      </c>
      <c r="D23" s="80" t="s">
        <v>28</v>
      </c>
      <c r="E23" s="81"/>
      <c r="F23" s="81"/>
      <c r="G23" s="82"/>
      <c r="H23" s="1"/>
      <c r="I23" s="1"/>
    </row>
    <row r="24" spans="1:9" x14ac:dyDescent="0.25">
      <c r="A24" s="1"/>
      <c r="B24" s="1"/>
      <c r="C24" s="6" t="s">
        <v>26</v>
      </c>
      <c r="D24" s="71" t="s">
        <v>99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29</v>
      </c>
      <c r="D25" s="71" t="s">
        <v>54</v>
      </c>
      <c r="E25" s="72"/>
      <c r="F25" s="72"/>
      <c r="G25" s="7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7" t="s">
        <v>121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112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8" t="s">
        <v>103</v>
      </c>
      <c r="C9" s="99"/>
      <c r="D9" s="100"/>
      <c r="E9" s="11">
        <v>85276973.126152158</v>
      </c>
      <c r="F9" s="22" t="s">
        <v>2</v>
      </c>
      <c r="G9" s="19"/>
      <c r="H9" s="27"/>
      <c r="I9" s="1"/>
    </row>
    <row r="10" spans="1:9" x14ac:dyDescent="0.25">
      <c r="A10" s="1"/>
      <c r="B10" s="98" t="s">
        <v>104</v>
      </c>
      <c r="C10" s="99"/>
      <c r="D10" s="100"/>
      <c r="E10" s="11">
        <v>84566327</v>
      </c>
      <c r="F10" s="22" t="s">
        <v>2</v>
      </c>
      <c r="G10" s="14"/>
      <c r="H10" s="28"/>
      <c r="I10" s="1"/>
    </row>
    <row r="11" spans="1:9" x14ac:dyDescent="0.25">
      <c r="A11" s="1"/>
      <c r="B11" s="98" t="s">
        <v>110</v>
      </c>
      <c r="C11" s="99"/>
      <c r="D11" s="100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105</v>
      </c>
      <c r="C12" s="48"/>
      <c r="D12" s="49"/>
      <c r="E12" s="17">
        <f>E9-(E10-E11)</f>
        <v>710646.12615215778</v>
      </c>
      <c r="F12" s="25" t="s">
        <v>2</v>
      </c>
      <c r="G12" s="17">
        <f>E12</f>
        <v>710646.12615215778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4" t="s">
        <v>136</v>
      </c>
      <c r="C17" s="95"/>
      <c r="D17" s="95"/>
      <c r="E17" s="95"/>
      <c r="F17" s="95"/>
      <c r="G17" s="95"/>
      <c r="H17" s="96"/>
      <c r="I17" s="1"/>
    </row>
    <row r="18" spans="1:9" x14ac:dyDescent="0.25">
      <c r="A18" s="1"/>
      <c r="B18" s="101" t="s">
        <v>113</v>
      </c>
      <c r="C18" s="102"/>
      <c r="D18" s="103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1" t="s">
        <v>111</v>
      </c>
      <c r="C19" s="102"/>
      <c r="D19" s="103"/>
      <c r="E19" s="11">
        <v>4</v>
      </c>
      <c r="F19" s="22" t="s">
        <v>38</v>
      </c>
      <c r="G19" s="14"/>
      <c r="H19" s="28"/>
      <c r="I19" s="1"/>
    </row>
    <row r="20" spans="1:9" x14ac:dyDescent="0.25">
      <c r="A20" s="1"/>
      <c r="B20" s="101" t="s">
        <v>114</v>
      </c>
      <c r="C20" s="102"/>
      <c r="D20" s="103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4" t="s">
        <v>137</v>
      </c>
      <c r="C21" s="95"/>
      <c r="D21" s="95"/>
      <c r="E21" s="95"/>
      <c r="F21" s="96"/>
      <c r="G21" s="20">
        <f>E20</f>
        <v>0</v>
      </c>
      <c r="H21" s="21" t="s">
        <v>2</v>
      </c>
      <c r="I21" s="1"/>
    </row>
    <row r="22" spans="1:9" x14ac:dyDescent="0.25">
      <c r="A22" s="1"/>
      <c r="B22" s="94" t="s">
        <v>138</v>
      </c>
      <c r="C22" s="95"/>
      <c r="D22" s="95"/>
      <c r="E22" s="95"/>
      <c r="F22" s="96"/>
      <c r="G22" s="20">
        <f>G21*(1+Prisudvikling2019)^5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122</v>
      </c>
      <c r="C8" s="95"/>
      <c r="D8" s="95"/>
      <c r="E8" s="95"/>
      <c r="F8" s="95"/>
      <c r="G8" s="95"/>
      <c r="H8" s="96"/>
      <c r="I8" s="1"/>
    </row>
    <row r="9" spans="1:9" ht="39" customHeight="1" x14ac:dyDescent="0.25">
      <c r="A9" s="1"/>
      <c r="B9" s="38" t="s">
        <v>87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88</v>
      </c>
      <c r="H9" s="37"/>
      <c r="I9" s="1"/>
    </row>
    <row r="10" spans="1:9" ht="39" x14ac:dyDescent="0.25">
      <c r="A10" s="1"/>
      <c r="B10" s="66" t="s">
        <v>140</v>
      </c>
      <c r="C10" s="67">
        <v>20</v>
      </c>
      <c r="D10" s="11">
        <v>633182</v>
      </c>
      <c r="E10" s="11">
        <f>D10/C10</f>
        <v>31659.1</v>
      </c>
      <c r="F10" s="11">
        <v>0</v>
      </c>
      <c r="G10" s="11">
        <v>13170</v>
      </c>
      <c r="H10" s="22" t="s">
        <v>2</v>
      </c>
      <c r="I10" s="1"/>
    </row>
    <row r="11" spans="1:9" ht="26.25" x14ac:dyDescent="0.25">
      <c r="A11" s="1"/>
      <c r="B11" s="66" t="s">
        <v>141</v>
      </c>
      <c r="C11" s="67">
        <v>60</v>
      </c>
      <c r="D11" s="11">
        <v>393237</v>
      </c>
      <c r="E11" s="11">
        <f t="shared" ref="E11:E19" si="0">D11/C11</f>
        <v>6553.95</v>
      </c>
      <c r="F11" s="11">
        <v>0</v>
      </c>
      <c r="G11" s="11">
        <v>8179</v>
      </c>
      <c r="H11" s="22" t="s">
        <v>2</v>
      </c>
      <c r="I11" s="1"/>
    </row>
    <row r="12" spans="1:9" x14ac:dyDescent="0.25">
      <c r="A12" s="1"/>
      <c r="B12" s="66" t="s">
        <v>142</v>
      </c>
      <c r="C12" s="67">
        <v>5</v>
      </c>
      <c r="D12" s="11">
        <v>932157</v>
      </c>
      <c r="E12" s="11">
        <f t="shared" si="0"/>
        <v>186431.4</v>
      </c>
      <c r="F12" s="11">
        <v>0</v>
      </c>
      <c r="G12" s="11">
        <v>19389</v>
      </c>
      <c r="H12" s="22" t="s">
        <v>2</v>
      </c>
      <c r="I12" s="1"/>
    </row>
    <row r="13" spans="1:9" x14ac:dyDescent="0.25">
      <c r="A13" s="1"/>
      <c r="B13" s="66" t="s">
        <v>143</v>
      </c>
      <c r="C13" s="67">
        <v>75</v>
      </c>
      <c r="D13" s="11">
        <v>2400</v>
      </c>
      <c r="E13" s="11">
        <f t="shared" si="0"/>
        <v>32</v>
      </c>
      <c r="F13" s="11">
        <v>0</v>
      </c>
      <c r="G13" s="11">
        <v>50</v>
      </c>
      <c r="H13" s="22" t="s">
        <v>2</v>
      </c>
      <c r="I13" s="1"/>
    </row>
    <row r="14" spans="1:9" ht="26.25" x14ac:dyDescent="0.25">
      <c r="A14" s="1"/>
      <c r="B14" s="66" t="s">
        <v>144</v>
      </c>
      <c r="C14" s="67">
        <v>75</v>
      </c>
      <c r="D14" s="11">
        <v>1156743</v>
      </c>
      <c r="E14" s="11">
        <f t="shared" si="0"/>
        <v>15423.24</v>
      </c>
      <c r="F14" s="11">
        <v>0</v>
      </c>
      <c r="G14" s="11">
        <v>24060</v>
      </c>
      <c r="H14" s="22" t="s">
        <v>2</v>
      </c>
      <c r="I14" s="1"/>
    </row>
    <row r="15" spans="1:9" x14ac:dyDescent="0.25">
      <c r="A15" s="1"/>
      <c r="B15" s="66" t="s">
        <v>145</v>
      </c>
      <c r="C15" s="67">
        <v>75</v>
      </c>
      <c r="D15" s="11">
        <v>2206532</v>
      </c>
      <c r="E15" s="11">
        <f t="shared" si="0"/>
        <v>29420.426666666666</v>
      </c>
      <c r="F15" s="11">
        <v>0</v>
      </c>
      <c r="G15" s="11">
        <v>45896</v>
      </c>
      <c r="H15" s="22" t="s">
        <v>2</v>
      </c>
      <c r="I15" s="1"/>
    </row>
    <row r="16" spans="1:9" x14ac:dyDescent="0.25">
      <c r="A16" s="1"/>
      <c r="B16" s="66" t="s">
        <v>146</v>
      </c>
      <c r="C16" s="67">
        <v>75</v>
      </c>
      <c r="D16" s="11">
        <v>42876</v>
      </c>
      <c r="E16" s="11">
        <f t="shared" si="0"/>
        <v>571.67999999999995</v>
      </c>
      <c r="F16" s="11">
        <v>0</v>
      </c>
      <c r="G16" s="11">
        <v>892</v>
      </c>
      <c r="H16" s="22" t="s">
        <v>2</v>
      </c>
      <c r="I16" s="1"/>
    </row>
    <row r="17" spans="1:9" ht="26.25" x14ac:dyDescent="0.25">
      <c r="A17" s="1"/>
      <c r="B17" s="66" t="s">
        <v>144</v>
      </c>
      <c r="C17" s="67">
        <v>75</v>
      </c>
      <c r="D17" s="11">
        <v>834531</v>
      </c>
      <c r="E17" s="11">
        <f t="shared" si="0"/>
        <v>11127.08</v>
      </c>
      <c r="F17" s="11">
        <v>0</v>
      </c>
      <c r="G17" s="11">
        <v>17358</v>
      </c>
      <c r="H17" s="22" t="s">
        <v>2</v>
      </c>
      <c r="I17" s="1"/>
    </row>
    <row r="18" spans="1:9" x14ac:dyDescent="0.25">
      <c r="A18" s="1"/>
      <c r="B18" s="66" t="s">
        <v>147</v>
      </c>
      <c r="C18" s="67">
        <v>20</v>
      </c>
      <c r="D18" s="11">
        <v>231866</v>
      </c>
      <c r="E18" s="11">
        <f t="shared" si="0"/>
        <v>11593.3</v>
      </c>
      <c r="F18" s="11">
        <v>0</v>
      </c>
      <c r="G18" s="11">
        <v>4823</v>
      </c>
      <c r="H18" s="22" t="s">
        <v>2</v>
      </c>
      <c r="I18" s="1"/>
    </row>
    <row r="19" spans="1:9" ht="39" x14ac:dyDescent="0.25">
      <c r="A19" s="1"/>
      <c r="B19" s="66" t="s">
        <v>148</v>
      </c>
      <c r="C19" s="67">
        <v>20</v>
      </c>
      <c r="D19" s="11">
        <v>5862072</v>
      </c>
      <c r="E19" s="11">
        <f t="shared" si="0"/>
        <v>293103.59999999998</v>
      </c>
      <c r="F19" s="11">
        <v>0</v>
      </c>
      <c r="G19" s="11">
        <v>121931</v>
      </c>
      <c r="H19" s="22" t="s">
        <v>2</v>
      </c>
      <c r="I19" s="1"/>
    </row>
    <row r="20" spans="1:9" x14ac:dyDescent="0.25">
      <c r="A20" s="1"/>
      <c r="B20" s="66" t="s">
        <v>149</v>
      </c>
      <c r="C20" s="67">
        <v>50</v>
      </c>
      <c r="D20" s="11">
        <v>318184</v>
      </c>
      <c r="E20" s="11">
        <f t="shared" ref="E20:E21" si="1">D20/C20</f>
        <v>6363.68</v>
      </c>
      <c r="F20" s="11">
        <v>0</v>
      </c>
      <c r="G20" s="11">
        <v>6618</v>
      </c>
      <c r="H20" s="22" t="s">
        <v>2</v>
      </c>
      <c r="I20" s="1"/>
    </row>
    <row r="21" spans="1:9" x14ac:dyDescent="0.25">
      <c r="A21" s="1"/>
      <c r="B21" s="66" t="s">
        <v>149</v>
      </c>
      <c r="C21" s="67">
        <v>50</v>
      </c>
      <c r="D21" s="11">
        <v>7550208</v>
      </c>
      <c r="E21" s="11">
        <f t="shared" si="1"/>
        <v>151004.16</v>
      </c>
      <c r="F21" s="11">
        <v>0</v>
      </c>
      <c r="G21" s="11">
        <v>157044</v>
      </c>
      <c r="H21" s="22" t="s">
        <v>2</v>
      </c>
      <c r="I21" s="1"/>
    </row>
    <row r="22" spans="1:9" x14ac:dyDescent="0.25">
      <c r="A22" s="1"/>
      <c r="B22" s="94" t="s">
        <v>126</v>
      </c>
      <c r="C22" s="95"/>
      <c r="D22" s="96"/>
      <c r="E22" s="20">
        <f>SUM(E10:E21)</f>
        <v>743283.6166666667</v>
      </c>
      <c r="F22" s="20">
        <f>SUM(F10:F21)</f>
        <v>0</v>
      </c>
      <c r="G22" s="20">
        <f>SUM(G10:G21)</f>
        <v>419410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sheetProtection password="DFE9" sheet="1" objects="1" scenarios="1"/>
  <mergeCells count="3">
    <mergeCell ref="B3:H4"/>
    <mergeCell ref="B8:H8"/>
    <mergeCell ref="B22:D22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116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122</v>
      </c>
      <c r="C10" s="59"/>
      <c r="D10" s="60">
        <f>'Fane 8. Anlægsprojekter'!F22</f>
        <v>0</v>
      </c>
      <c r="E10" s="22" t="s">
        <v>2</v>
      </c>
      <c r="F10" s="11">
        <f>SUM('Fane 8. Anlægsprojekter'!E22,'Fane 8. Anlægsprojekter'!G22)</f>
        <v>1162693.6166666667</v>
      </c>
      <c r="G10" s="22" t="s">
        <v>2</v>
      </c>
      <c r="H10" s="1"/>
    </row>
    <row r="11" spans="1:8" x14ac:dyDescent="0.25">
      <c r="A11" s="1"/>
      <c r="B11" s="68" t="s">
        <v>151</v>
      </c>
      <c r="C11" s="69"/>
      <c r="D11" s="60">
        <v>0</v>
      </c>
      <c r="E11" s="22" t="s">
        <v>2</v>
      </c>
      <c r="F11" s="11">
        <f>5009+7814</f>
        <v>12823</v>
      </c>
      <c r="G11" s="22" t="s">
        <v>2</v>
      </c>
      <c r="H11" s="1"/>
    </row>
    <row r="12" spans="1:8" x14ac:dyDescent="0.25">
      <c r="A12" s="1"/>
      <c r="B12" s="39" t="s">
        <v>69</v>
      </c>
      <c r="C12" s="41"/>
      <c r="D12" s="20">
        <f>SUM(D10:D11)</f>
        <v>0</v>
      </c>
      <c r="E12" s="21" t="s">
        <v>2</v>
      </c>
      <c r="F12" s="20">
        <f>SUM(F10:F11)</f>
        <v>1175516.6166666667</v>
      </c>
      <c r="G12" s="21" t="s">
        <v>2</v>
      </c>
      <c r="H12" s="1"/>
    </row>
    <row r="13" spans="1:8" x14ac:dyDescent="0.25">
      <c r="A13" s="1"/>
      <c r="B13" s="39" t="s">
        <v>70</v>
      </c>
      <c r="C13" s="41"/>
      <c r="D13" s="20">
        <f>D12*(1+Prisudvikling2019)</f>
        <v>0</v>
      </c>
      <c r="E13" s="21" t="s">
        <v>2</v>
      </c>
      <c r="F13" s="20">
        <f>F12*(1+Prisudvikling2019)</f>
        <v>1195382.8474883332</v>
      </c>
      <c r="G13" s="21" t="s">
        <v>2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155</v>
      </c>
      <c r="C3" s="97"/>
      <c r="D3" s="97"/>
      <c r="E3" s="97"/>
      <c r="F3" s="97"/>
      <c r="G3" s="97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9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150</v>
      </c>
      <c r="C10" s="70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156</v>
      </c>
      <c r="C3" s="97"/>
      <c r="D3" s="97"/>
      <c r="E3" s="97"/>
      <c r="F3" s="97"/>
      <c r="G3" s="1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107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2" t="s">
        <v>41</v>
      </c>
      <c r="C3" s="92"/>
      <c r="D3" s="92"/>
      <c r="E3" s="92"/>
      <c r="F3" s="92"/>
      <c r="G3" s="1"/>
      <c r="I3" s="36"/>
    </row>
    <row r="4" spans="1:9" ht="15" customHeight="1" x14ac:dyDescent="0.25">
      <c r="A4" s="1"/>
      <c r="B4" s="92"/>
      <c r="C4" s="92"/>
      <c r="D4" s="92"/>
      <c r="E4" s="92"/>
      <c r="F4" s="92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79802072.691632405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Tillæg'!D13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Tillæg'!F13</f>
        <v>1195382.8474883332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1416738.2422261201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50" t="s">
        <v>128</v>
      </c>
      <c r="C16" s="11">
        <f>-(('Fane 5. Generelt eff. krav'!G10-'Fane 5. Generelt eff. krav'!G9-'Fane 3. Omkostninger i ØR2018'!G12)*(1+Prisudvikling2018)*GenereltKravDrift2018)</f>
        <v>-608444.46941772348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129</v>
      </c>
      <c r="C17" s="11">
        <f>-(('Fane 5. Generelt eff. krav'!G12-'Fane 5. Generelt eff. krav'!G11)*(1+Prisudvikling2018)*GenereltKravAnlæg2018)</f>
        <v>-898742.02322344191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50" t="s">
        <v>130</v>
      </c>
      <c r="C18" s="11">
        <f>-(SUM(C10,C12)*(1+Prisudvikling2019)*GenereltKravDrift2019)</f>
        <v>0</v>
      </c>
      <c r="D18" s="8" t="s">
        <v>2</v>
      </c>
      <c r="E18" s="12"/>
      <c r="F18" s="13"/>
      <c r="G18" s="1"/>
    </row>
    <row r="19" spans="1:7" ht="15" customHeight="1" x14ac:dyDescent="0.25">
      <c r="A19" s="1"/>
      <c r="B19" s="50" t="s">
        <v>131</v>
      </c>
      <c r="C19" s="11">
        <f>-(SUM(C11,C13)*(1+Prisudvikling2019)*GenereltKravAnlæg2019)</f>
        <v>-10575.587913214707</v>
      </c>
      <c r="D19" s="8" t="s">
        <v>2</v>
      </c>
      <c r="E19" s="15"/>
      <c r="F19" s="16"/>
      <c r="G19" s="1"/>
    </row>
    <row r="20" spans="1:7" ht="15" customHeight="1" x14ac:dyDescent="0.25">
      <c r="A20" s="1"/>
      <c r="B20" s="47" t="s">
        <v>40</v>
      </c>
      <c r="C20" s="17">
        <f>SUM(C9:C19)</f>
        <v>80896431.700792477</v>
      </c>
      <c r="D20" s="18" t="s">
        <v>2</v>
      </c>
      <c r="E20" s="17">
        <f>C20</f>
        <v>80896431.700792477</v>
      </c>
      <c r="F20" s="18" t="s">
        <v>2</v>
      </c>
      <c r="G20" s="1"/>
    </row>
    <row r="21" spans="1:7" ht="15" customHeight="1" x14ac:dyDescent="0.25">
      <c r="A21" s="1"/>
      <c r="B21" s="39" t="s">
        <v>74</v>
      </c>
      <c r="C21" s="40"/>
      <c r="D21" s="40"/>
      <c r="E21" s="40"/>
      <c r="F21" s="41"/>
      <c r="G21" s="1"/>
    </row>
    <row r="22" spans="1:7" ht="15" customHeight="1" x14ac:dyDescent="0.25">
      <c r="A22" s="1"/>
      <c r="B22" s="46" t="s">
        <v>139</v>
      </c>
      <c r="C22" s="11">
        <v>0</v>
      </c>
      <c r="D22" s="8" t="s">
        <v>2</v>
      </c>
      <c r="E22" s="12"/>
      <c r="F22" s="13"/>
      <c r="G22" s="1"/>
    </row>
    <row r="23" spans="1:7" ht="15" customHeight="1" x14ac:dyDescent="0.25">
      <c r="A23" s="1"/>
      <c r="B23" s="46" t="s">
        <v>76</v>
      </c>
      <c r="C23" s="11">
        <f>-(C22*(GenereltKravDrift2018+IndividueltKrav))</f>
        <v>0</v>
      </c>
      <c r="D23" s="8" t="s">
        <v>2</v>
      </c>
      <c r="E23" s="12"/>
      <c r="F23" s="13"/>
      <c r="G23" s="1"/>
    </row>
    <row r="24" spans="1:7" ht="15" customHeight="1" x14ac:dyDescent="0.25">
      <c r="A24" s="1"/>
      <c r="B24" s="29" t="s">
        <v>77</v>
      </c>
      <c r="C24" s="17">
        <f>SUM(C22:C23)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ht="15" customHeight="1" x14ac:dyDescent="0.25">
      <c r="A25" s="1"/>
      <c r="B25" s="39" t="s">
        <v>22</v>
      </c>
      <c r="C25" s="40"/>
      <c r="D25" s="40"/>
      <c r="E25" s="40"/>
      <c r="F25" s="41"/>
      <c r="G25" s="1"/>
    </row>
    <row r="26" spans="1:7" ht="15" customHeight="1" x14ac:dyDescent="0.25">
      <c r="A26" s="1"/>
      <c r="B26" s="46" t="s">
        <v>22</v>
      </c>
      <c r="C26" s="11">
        <f>'Fane 4. Ikke-påvirkelige omk.'!E14</f>
        <v>1204342.6352584497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46" t="s">
        <v>79</v>
      </c>
      <c r="C27" s="11">
        <v>0</v>
      </c>
      <c r="D27" s="8" t="s">
        <v>2</v>
      </c>
      <c r="E27" s="12"/>
      <c r="F27" s="13"/>
      <c r="G27" s="1"/>
    </row>
    <row r="28" spans="1:7" ht="15" customHeight="1" x14ac:dyDescent="0.25">
      <c r="A28" s="1"/>
      <c r="B28" s="29" t="s">
        <v>80</v>
      </c>
      <c r="C28" s="17">
        <f>SUM(C26:C27)</f>
        <v>1204342.6352584497</v>
      </c>
      <c r="D28" s="18" t="s">
        <v>2</v>
      </c>
      <c r="E28" s="17">
        <f>C28</f>
        <v>1204342.6352584497</v>
      </c>
      <c r="F28" s="18" t="s">
        <v>2</v>
      </c>
      <c r="G28" s="1"/>
    </row>
    <row r="29" spans="1:7" ht="15" customHeight="1" x14ac:dyDescent="0.25">
      <c r="A29" s="1"/>
      <c r="B29" s="39" t="s">
        <v>50</v>
      </c>
      <c r="C29" s="40"/>
      <c r="D29" s="40"/>
      <c r="E29" s="40"/>
      <c r="F29" s="41"/>
      <c r="G29" s="1"/>
    </row>
    <row r="30" spans="1:7" ht="15" customHeight="1" x14ac:dyDescent="0.25">
      <c r="A30" s="1"/>
      <c r="B30" s="45" t="s">
        <v>81</v>
      </c>
      <c r="C30" s="7">
        <v>0</v>
      </c>
      <c r="D30" s="8" t="s">
        <v>2</v>
      </c>
      <c r="E30" s="33"/>
      <c r="F30" s="13"/>
      <c r="G30" s="1"/>
    </row>
    <row r="31" spans="1:7" ht="15" customHeight="1" x14ac:dyDescent="0.25">
      <c r="A31" s="1"/>
      <c r="B31" s="45" t="s">
        <v>51</v>
      </c>
      <c r="C31" s="7">
        <v>0</v>
      </c>
      <c r="D31" s="8" t="s">
        <v>2</v>
      </c>
      <c r="E31" s="32"/>
      <c r="F31" s="13"/>
      <c r="G31" s="1"/>
    </row>
    <row r="32" spans="1:7" ht="28.5" customHeight="1" x14ac:dyDescent="0.25">
      <c r="A32" s="1"/>
      <c r="B32" s="46" t="s">
        <v>52</v>
      </c>
      <c r="C32" s="7">
        <v>6078.2291223244256</v>
      </c>
      <c r="D32" s="8" t="s">
        <v>2</v>
      </c>
      <c r="E32" s="32"/>
      <c r="F32" s="13"/>
      <c r="G32" s="1"/>
    </row>
    <row r="33" spans="1:7" ht="15" customHeight="1" x14ac:dyDescent="0.25">
      <c r="A33" s="1"/>
      <c r="B33" s="47" t="s">
        <v>53</v>
      </c>
      <c r="C33" s="17">
        <f>SUM(C30:C32)</f>
        <v>6078.2291223244256</v>
      </c>
      <c r="D33" s="18" t="s">
        <v>2</v>
      </c>
      <c r="E33" s="17">
        <f>C33</f>
        <v>6078.2291223244256</v>
      </c>
      <c r="F33" s="18" t="s">
        <v>2</v>
      </c>
      <c r="G33" s="1"/>
    </row>
    <row r="34" spans="1:7" x14ac:dyDescent="0.25">
      <c r="A34" s="1"/>
      <c r="B34" s="39" t="s">
        <v>15</v>
      </c>
      <c r="C34" s="40"/>
      <c r="D34" s="40"/>
      <c r="E34" s="40"/>
      <c r="F34" s="41"/>
      <c r="G34" s="1"/>
    </row>
    <row r="35" spans="1:7" ht="15" customHeight="1" x14ac:dyDescent="0.25">
      <c r="A35" s="1"/>
      <c r="B35" s="47" t="s">
        <v>24</v>
      </c>
      <c r="C35" s="17">
        <f>'Fane 6. Hist. over el. underdæk'!G13</f>
        <v>0</v>
      </c>
      <c r="D35" s="18" t="s">
        <v>2</v>
      </c>
      <c r="E35" s="17">
        <f>C35</f>
        <v>0</v>
      </c>
      <c r="F35" s="18" t="s">
        <v>2</v>
      </c>
      <c r="G35" s="1"/>
    </row>
    <row r="36" spans="1:7" x14ac:dyDescent="0.25">
      <c r="A36" s="1"/>
      <c r="B36" s="39" t="s">
        <v>33</v>
      </c>
      <c r="C36" s="40"/>
      <c r="D36" s="41"/>
      <c r="E36" s="20">
        <f>SUM(E20,E24,E28,E33,E35)</f>
        <v>82106852.565173253</v>
      </c>
      <c r="F36" s="21" t="s">
        <v>2</v>
      </c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25</v>
      </c>
      <c r="C8" s="95"/>
      <c r="D8" s="95"/>
      <c r="E8" s="95"/>
      <c r="F8" s="96"/>
      <c r="G8" s="1"/>
    </row>
    <row r="9" spans="1:7" ht="15" customHeight="1" x14ac:dyDescent="0.25">
      <c r="A9" s="1"/>
      <c r="B9" s="45" t="s">
        <v>55</v>
      </c>
      <c r="C9" s="7">
        <f>'Fane 2.1. Økonomisk ramme 2019'!E20</f>
        <v>80896431.700792477</v>
      </c>
      <c r="D9" s="8" t="s">
        <v>2</v>
      </c>
      <c r="E9" s="9"/>
      <c r="F9" s="10"/>
      <c r="G9" s="1"/>
    </row>
    <row r="10" spans="1:7" ht="15" customHeight="1" x14ac:dyDescent="0.25">
      <c r="A10" s="1"/>
      <c r="B10" s="50" t="s">
        <v>132</v>
      </c>
      <c r="C10" s="7">
        <f>SUM('Fane 2.1. Økonomisk ramme 2019'!C10,'Fane 2.1. Økonomisk ramme 2019'!C12)*(1+Prisudvikling2019)*(1-IndividueltKrav-GenereltKravDrift2019)</f>
        <v>0</v>
      </c>
      <c r="D10" s="8" t="s">
        <v>2</v>
      </c>
      <c r="E10" s="32"/>
      <c r="F10" s="13"/>
      <c r="G10" s="1"/>
    </row>
    <row r="11" spans="1:7" ht="15" customHeight="1" x14ac:dyDescent="0.25">
      <c r="A11" s="1"/>
      <c r="B11" s="50" t="s">
        <v>133</v>
      </c>
      <c r="C11" s="7">
        <f>SUM('Fane 2.1. Økonomisk ramme 2019'!C11,'Fane 2.1. Økonomisk ramme 2019'!C13)*(1+Prisudvikling2019)*(1-IndividueltKrav-GenereltKravAnlæg2019)</f>
        <v>1205009.2296976713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1414964.5492260498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('Fane 2.1. Økonomisk ramme 2019'!C16/GenereltKravDrift2018-'Fane 2.1. Økonomisk ramme 2019'!C16)*(1+Prisudvikling2018)*GenereltKravDrift2018</f>
        <v>-606710.40267988306</v>
      </c>
      <c r="D14" s="8" t="s">
        <v>2</v>
      </c>
      <c r="E14" s="14"/>
      <c r="F14" s="13"/>
      <c r="G14" s="1"/>
    </row>
    <row r="15" spans="1:7" ht="15" customHeight="1" x14ac:dyDescent="0.25">
      <c r="A15" s="1"/>
      <c r="B15" s="50" t="s">
        <v>129</v>
      </c>
      <c r="C15" s="11">
        <f>(('Fane 2.1. Økonomisk ramme 2019'!C17/GenereltKravAnlæg2018-'Fane 2.1. Økonomisk ramme 2019'!C17)*(1+Prisudvikling2018)*GenereltKravAnlæg2018)</f>
        <v>-898283.88947710383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('Fane 2.1. Økonomisk ramme 2019'!C18/GenereltKravDrift2019-'Fane 2.1. Økonomisk ramme 2019'!C18)*(1+Prisudvikling2019)*GenereltKravDrift2019</f>
        <v>0</v>
      </c>
      <c r="D16" s="8" t="s">
        <v>2</v>
      </c>
      <c r="E16" s="14"/>
      <c r="F16" s="13"/>
      <c r="G16" s="1"/>
    </row>
    <row r="17" spans="1:7" ht="15" customHeight="1" x14ac:dyDescent="0.25">
      <c r="A17" s="1"/>
      <c r="B17" s="50" t="s">
        <v>131</v>
      </c>
      <c r="C17" s="11">
        <f>(('Fane 2.1. Økonomisk ramme 2019'!C19/GenereltKravAnlæg2019-'Fane 2.1. Økonomisk ramme 2019'!C19)*(1+Prisudvikling2019)*GenereltKravAnlæg2019)</f>
        <v>-10660.752805412187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47" t="s">
        <v>40</v>
      </c>
      <c r="C18" s="17">
        <f>SUM(C9,C12:C17)</f>
        <v>80795741.205056116</v>
      </c>
      <c r="D18" s="18" t="s">
        <v>2</v>
      </c>
      <c r="E18" s="17">
        <f>C18</f>
        <v>80795741.205056116</v>
      </c>
      <c r="F18" s="18" t="s">
        <v>2</v>
      </c>
      <c r="G18" s="1"/>
    </row>
    <row r="19" spans="1:7" ht="15" customHeight="1" x14ac:dyDescent="0.25">
      <c r="A19" s="1"/>
      <c r="B19" s="94" t="s">
        <v>74</v>
      </c>
      <c r="C19" s="95"/>
      <c r="D19" s="95"/>
      <c r="E19" s="95"/>
      <c r="F19" s="96"/>
      <c r="G19" s="1"/>
    </row>
    <row r="20" spans="1:7" ht="15" customHeight="1" x14ac:dyDescent="0.25">
      <c r="A20" s="1"/>
      <c r="B20" s="46" t="s">
        <v>139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94" t="s">
        <v>22</v>
      </c>
      <c r="C23" s="95"/>
      <c r="D23" s="95"/>
      <c r="E23" s="95"/>
      <c r="F23" s="96"/>
      <c r="G23" s="1"/>
    </row>
    <row r="24" spans="1:7" ht="15" customHeight="1" x14ac:dyDescent="0.25">
      <c r="A24" s="1"/>
      <c r="B24" s="46" t="s">
        <v>22</v>
      </c>
      <c r="C24" s="11">
        <f>'Fane 4. Ikke-påvirkelige omk.'!E14*(1+Prisudvikling2019)</f>
        <v>1224696.0257943175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1224696.0257943175</v>
      </c>
      <c r="D26" s="18" t="s">
        <v>2</v>
      </c>
      <c r="E26" s="17">
        <f>C26</f>
        <v>1224696.0257943175</v>
      </c>
      <c r="F26" s="18" t="s">
        <v>2</v>
      </c>
      <c r="G26" s="1"/>
    </row>
    <row r="27" spans="1:7" x14ac:dyDescent="0.25">
      <c r="A27" s="1"/>
      <c r="B27" s="94" t="s">
        <v>15</v>
      </c>
      <c r="C27" s="95"/>
      <c r="D27" s="95"/>
      <c r="E27" s="95"/>
      <c r="F27" s="96"/>
      <c r="G27" s="1"/>
    </row>
    <row r="28" spans="1:7" ht="15" customHeight="1" x14ac:dyDescent="0.25">
      <c r="A28" s="1"/>
      <c r="B28" s="29" t="s">
        <v>24</v>
      </c>
      <c r="C28" s="17">
        <f>IF('Fane 6. Hist. over el. underdæk'!G12&gt;1,'Fane 6. Hist. over el. underdæk'!G13,0)</f>
        <v>0</v>
      </c>
      <c r="D28" s="18" t="s">
        <v>2</v>
      </c>
      <c r="E28" s="17">
        <f>C28</f>
        <v>0</v>
      </c>
      <c r="F28" s="18" t="s">
        <v>2</v>
      </c>
      <c r="G28" s="1"/>
    </row>
    <row r="29" spans="1:7" x14ac:dyDescent="0.25">
      <c r="A29" s="1"/>
      <c r="B29" s="39" t="s">
        <v>56</v>
      </c>
      <c r="C29" s="40"/>
      <c r="D29" s="41"/>
      <c r="E29" s="20">
        <f>SUM(E18,E22,E26,E28)</f>
        <v>82020437.230850428</v>
      </c>
      <c r="F29" s="21" t="s">
        <v>2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6">
    <mergeCell ref="B3:F4"/>
    <mergeCell ref="B5:F5"/>
    <mergeCell ref="B27:F27"/>
    <mergeCell ref="B23:F23"/>
    <mergeCell ref="B19:F19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89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x14ac:dyDescent="0.25">
      <c r="A9" s="1"/>
      <c r="B9" s="42" t="s">
        <v>57</v>
      </c>
      <c r="C9" s="7">
        <f>'Fane 2.2. Økonomisk ramme 2020'!E18</f>
        <v>80795741.205056116</v>
      </c>
      <c r="D9" s="8" t="s">
        <v>2</v>
      </c>
      <c r="E9" s="9"/>
      <c r="F9" s="10"/>
      <c r="G9" s="1"/>
    </row>
    <row r="10" spans="1:7" x14ac:dyDescent="0.25">
      <c r="A10" s="1"/>
      <c r="B10" s="46" t="s">
        <v>132</v>
      </c>
      <c r="C10" s="7">
        <f>'Fane 2.2. Økonomisk ramme 2020'!C10*(1+Prisudvikling2019)*(1-IndividueltKrav-GenereltKravDrift2019)</f>
        <v>0</v>
      </c>
      <c r="D10" s="8" t="s">
        <v>2</v>
      </c>
      <c r="E10" s="32"/>
      <c r="F10" s="13"/>
      <c r="G10" s="1"/>
    </row>
    <row r="11" spans="1:7" x14ac:dyDescent="0.25">
      <c r="A11" s="1"/>
      <c r="B11" s="50" t="s">
        <v>133</v>
      </c>
      <c r="C11" s="7">
        <f>'Fane 2.2. Økonomisk ramme 2020'!C11*(1+Prisudvikling2019)*(1-IndividueltKrav-GenereltKravAnlæg2019)</f>
        <v>1214713.1328741496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1413196.6432087577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(('Fane 2.2. Økonomisk ramme 2020'!C14/GenereltKravDrift2018-'Fane 2.2. Økonomisk ramme 2020'!C14)*(1+Prisudvikling2018)*GenereltKravDrift2018)</f>
        <v>-604981.27803224546</v>
      </c>
      <c r="D14" s="8" t="s">
        <v>2</v>
      </c>
      <c r="E14" s="12"/>
      <c r="F14" s="13"/>
      <c r="G14" s="1"/>
    </row>
    <row r="15" spans="1:7" ht="15" customHeight="1" x14ac:dyDescent="0.25">
      <c r="A15" s="1"/>
      <c r="B15" s="50" t="s">
        <v>129</v>
      </c>
      <c r="C15" s="11">
        <f>(('Fane 2.2. Økonomisk ramme 2020'!C15/GenereltKravAnlæg2018-'Fane 2.2. Økonomisk ramme 2020'!C15)*(1+Prisudvikling2018)*GenereltKravAnlæg2018)</f>
        <v>-897825.98926444282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(('Fane 2.2. Økonomisk ramme 2020'!C16/GenereltKravDrift2019-'Fane 2.2. Økonomisk ramme 2020'!C16)*(1+Prisudvikling2019)*GenereltKravDrift2019)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131</v>
      </c>
      <c r="C17" s="11">
        <f>(('Fane 2.2. Økonomisk ramme 2020'!C17/GenereltKravAnlæg2019-'Fane 2.2. Økonomisk ramme 2020'!C17)*(1+Prisudvikling2019)*GenereltKravAnlæg2019)</f>
        <v>-10746.603527931586</v>
      </c>
      <c r="D17" s="8" t="s">
        <v>2</v>
      </c>
      <c r="E17" s="12"/>
      <c r="F17" s="13"/>
      <c r="G17" s="1"/>
    </row>
    <row r="18" spans="1:7" x14ac:dyDescent="0.25">
      <c r="A18" s="1"/>
      <c r="B18" s="47" t="s">
        <v>40</v>
      </c>
      <c r="C18" s="17">
        <f>SUM(C9,C12:C17)</f>
        <v>80695383.977440253</v>
      </c>
      <c r="D18" s="18" t="s">
        <v>2</v>
      </c>
      <c r="E18" s="17">
        <f>C18</f>
        <v>80695383.977440253</v>
      </c>
      <c r="F18" s="18" t="s">
        <v>2</v>
      </c>
      <c r="G18" s="1"/>
    </row>
    <row r="19" spans="1:7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139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omk.'!E14*(1+Prisudvikling2019)^2</f>
        <v>1245393.3886302412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1245393.3886302412</v>
      </c>
      <c r="D26" s="18" t="s">
        <v>2</v>
      </c>
      <c r="E26" s="17">
        <f>C26</f>
        <v>1245393.3886302412</v>
      </c>
      <c r="F26" s="18" t="s">
        <v>2</v>
      </c>
      <c r="G26" s="1"/>
    </row>
    <row r="27" spans="1:7" x14ac:dyDescent="0.25">
      <c r="A27" s="1"/>
      <c r="B27" s="39" t="s">
        <v>68</v>
      </c>
      <c r="C27" s="40"/>
      <c r="D27" s="41"/>
      <c r="E27" s="20">
        <f>SUM(E18,E22,E26)</f>
        <v>81940777.366070494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90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2021'!E18</f>
        <v>80695383.977440253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1363751.98921874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2021'!C14/GenereltKravDrift2018-'Fane 2.3. Økonomisk ramme 2021'!C14)*(1+Prisudvikling2019)*GenereltKravDrift2019+('Fane 2.3. Økonomisk ramme 2021'!C16/GenereltKravDrift2019-'Fane 2.3. Økonomisk ramme 2021'!C16)*(1+Prisudvikling2019)*GenereltKravDrift2019</f>
        <v>-602901.35239837063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2021'!C15/GenereltKravAnlæg2018-'Fane 2.3. Økonomisk ramme 2021'!C15)*(1+Prisudvikling2019)*GenereltKravAnlæg2019+('Fane 2.3. Økonomisk ramme 2021'!C17/GenereltKravAnlæg2019-'Fane 2.3. Økonomisk ramme 2021'!C17)*(1+Prisudvikling2019)*GenereltKravAnlæg2019</f>
        <v>-451652.39461664238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81004582.21964398</v>
      </c>
      <c r="D13" s="18" t="s">
        <v>2</v>
      </c>
      <c r="E13" s="17">
        <f>C13</f>
        <v>81004582.21964398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139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omk.'!E14*(1+Prisudvikling2019)^3</f>
        <v>1266440.5368980921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1266440.5368980921</v>
      </c>
      <c r="D21" s="18" t="s">
        <v>2</v>
      </c>
      <c r="E21" s="17">
        <f>C21</f>
        <v>1266440.5368980921</v>
      </c>
      <c r="F21" s="18" t="s">
        <v>2</v>
      </c>
      <c r="G21" s="1"/>
    </row>
    <row r="22" spans="1:7" ht="15" customHeight="1" x14ac:dyDescent="0.25">
      <c r="A22" s="1"/>
      <c r="B22" s="39" t="s">
        <v>112</v>
      </c>
      <c r="C22" s="40"/>
      <c r="D22" s="40"/>
      <c r="E22" s="40"/>
      <c r="F22" s="41"/>
      <c r="G22" s="1"/>
    </row>
    <row r="23" spans="1:7" ht="15" customHeight="1" x14ac:dyDescent="0.25">
      <c r="A23" s="1"/>
      <c r="B23" s="29" t="s">
        <v>106</v>
      </c>
      <c r="C23" s="17">
        <f>'Fane 7. Kontrol af ØR2017'!G22</f>
        <v>0</v>
      </c>
      <c r="D23" s="18" t="s">
        <v>2</v>
      </c>
      <c r="E23" s="17">
        <f>C23</f>
        <v>0</v>
      </c>
      <c r="F23" s="18" t="s">
        <v>2</v>
      </c>
      <c r="G23" s="1"/>
    </row>
    <row r="24" spans="1:7" x14ac:dyDescent="0.25">
      <c r="A24" s="1"/>
      <c r="B24" s="39" t="s">
        <v>78</v>
      </c>
      <c r="C24" s="40"/>
      <c r="D24" s="41"/>
      <c r="E24" s="20">
        <f>SUM(E13,E17,E21,E23)</f>
        <v>82271022.756542072</v>
      </c>
      <c r="F24" s="21" t="s">
        <v>2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91</v>
      </c>
      <c r="C3" s="97"/>
      <c r="D3" s="97"/>
      <c r="E3" s="97"/>
      <c r="F3" s="97"/>
      <c r="G3" s="97"/>
      <c r="H3" s="97"/>
      <c r="I3" s="1"/>
    </row>
    <row r="4" spans="1:9" ht="29.2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81330697.416296199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1528624.7246637954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79802072.691632405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100</v>
      </c>
      <c r="C3" s="92"/>
      <c r="D3" s="92"/>
      <c r="E3" s="92"/>
      <c r="F3" s="92"/>
      <c r="G3" s="1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109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3" t="s">
        <v>152</v>
      </c>
      <c r="C10" s="64"/>
      <c r="D10" s="65"/>
      <c r="E10" s="11">
        <v>1008215</v>
      </c>
      <c r="F10" s="22" t="s">
        <v>2</v>
      </c>
      <c r="G10" s="1"/>
      <c r="H10" s="1"/>
    </row>
    <row r="11" spans="1:8" x14ac:dyDescent="0.25">
      <c r="A11" s="1"/>
      <c r="B11" s="63" t="s">
        <v>153</v>
      </c>
      <c r="C11" s="64"/>
      <c r="D11" s="65"/>
      <c r="E11" s="11">
        <v>48679</v>
      </c>
      <c r="F11" s="22" t="s">
        <v>2</v>
      </c>
      <c r="G11" s="1"/>
      <c r="H11" s="1"/>
    </row>
    <row r="12" spans="1:8" x14ac:dyDescent="0.25">
      <c r="A12" s="1"/>
      <c r="B12" s="63" t="s">
        <v>154</v>
      </c>
      <c r="C12" s="64"/>
      <c r="D12" s="65"/>
      <c r="E12" s="11">
        <v>107751</v>
      </c>
      <c r="F12" s="22" t="s">
        <v>2</v>
      </c>
      <c r="G12" s="1"/>
      <c r="H12" s="1"/>
    </row>
    <row r="13" spans="1:8" x14ac:dyDescent="0.25">
      <c r="A13" s="1"/>
      <c r="B13" s="94" t="s">
        <v>123</v>
      </c>
      <c r="C13" s="95"/>
      <c r="D13" s="96"/>
      <c r="E13" s="20">
        <f>SUM(E10:E12)</f>
        <v>1164645</v>
      </c>
      <c r="F13" s="21" t="s">
        <v>2</v>
      </c>
      <c r="G13" s="1"/>
      <c r="H13" s="1"/>
    </row>
    <row r="14" spans="1:8" x14ac:dyDescent="0.25">
      <c r="A14" s="1"/>
      <c r="B14" s="94" t="s">
        <v>124</v>
      </c>
      <c r="C14" s="95"/>
      <c r="D14" s="96"/>
      <c r="E14" s="20">
        <f>E13*(1+Prisudvikling2019)^2</f>
        <v>1204342.6352584497</v>
      </c>
      <c r="F14" s="21" t="s">
        <v>2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3">
    <mergeCell ref="B3:F4"/>
    <mergeCell ref="B13:D13"/>
    <mergeCell ref="B14:D14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115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610183.49237098068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30509174.618549034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899200.3906225618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50802281.956076935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8" t="s">
        <v>134</v>
      </c>
      <c r="C17" s="99"/>
      <c r="D17" s="99"/>
      <c r="E17" s="99"/>
      <c r="F17" s="100"/>
      <c r="G17" s="57">
        <v>0.02</v>
      </c>
      <c r="H17" s="22"/>
      <c r="I17" s="1"/>
    </row>
    <row r="18" spans="1:9" x14ac:dyDescent="0.25">
      <c r="A18" s="1"/>
      <c r="B18" s="98" t="s">
        <v>86</v>
      </c>
      <c r="C18" s="99"/>
      <c r="D18" s="99"/>
      <c r="E18" s="99"/>
      <c r="F18" s="100"/>
      <c r="G18" s="57">
        <v>0.02</v>
      </c>
      <c r="H18" s="22"/>
      <c r="I18" s="1"/>
    </row>
    <row r="19" spans="1:9" x14ac:dyDescent="0.25">
      <c r="A19" s="1"/>
      <c r="B19" s="98" t="s">
        <v>135</v>
      </c>
      <c r="C19" s="99"/>
      <c r="D19" s="99"/>
      <c r="E19" s="99"/>
      <c r="F19" s="100"/>
      <c r="G19" s="57">
        <v>1.77E-2</v>
      </c>
      <c r="H19" s="22"/>
      <c r="I19" s="1"/>
    </row>
    <row r="20" spans="1:9" x14ac:dyDescent="0.25">
      <c r="A20" s="1"/>
      <c r="B20" s="98" t="s">
        <v>127</v>
      </c>
      <c r="C20" s="99"/>
      <c r="D20" s="99"/>
      <c r="E20" s="99"/>
      <c r="F20" s="100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-3302483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-3302483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2018-08-27T13:12:43Z</dcterms:modified>
</cp:coreProperties>
</file>