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918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externalReferences>
    <externalReference r:id="rId16"/>
  </externalReferences>
  <definedNames>
    <definedName name="GenereltKrav">'Fane 12. Nøgletal'!$F$16</definedName>
    <definedName name="GenereltKravDrift2019">'[1]Fane 5. Generelt eff. krav'!$G$18</definedName>
    <definedName name="IndividueltKrav">'[1]Fane 12. Nøgletal'!$F$14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18" i="2" l="1"/>
  <c r="C15" i="23" l="1"/>
  <c r="C16" i="23" s="1"/>
  <c r="E16" i="23" s="1"/>
  <c r="C19" i="2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7" i="22" s="1"/>
  <c r="C26" i="23" s="1"/>
  <c r="C26" i="22" l="1"/>
  <c r="C24" i="22"/>
  <c r="C23" i="23" s="1"/>
  <c r="G12" i="31"/>
  <c r="C28" i="22" l="1"/>
  <c r="E28" i="22" s="1"/>
  <c r="C25" i="23"/>
  <c r="C27" i="23" s="1"/>
  <c r="E27" i="23" s="1"/>
  <c r="E23" i="23" l="1"/>
  <c r="G11" i="11" l="1"/>
  <c r="F11" i="11"/>
  <c r="D10" i="20" s="1"/>
  <c r="G13" i="27" l="1"/>
  <c r="C32" i="2" l="1"/>
  <c r="C16" i="22"/>
  <c r="C17" i="22" s="1"/>
  <c r="E17" i="22" s="1"/>
  <c r="C17" i="15"/>
  <c r="C18" i="15" s="1"/>
  <c r="E18" i="15" s="1"/>
  <c r="C21" i="2"/>
  <c r="C22" i="2" s="1"/>
  <c r="E22" i="2" s="1"/>
  <c r="G21" i="7" l="1"/>
  <c r="G22" i="7"/>
  <c r="G17" i="7"/>
  <c r="D13" i="20"/>
  <c r="E11" i="21"/>
  <c r="E12" i="21" s="1"/>
  <c r="C11" i="21"/>
  <c r="C12" i="21" s="1"/>
  <c r="C10" i="2"/>
  <c r="C10" i="15" s="1"/>
  <c r="C9" i="2"/>
  <c r="E13" i="19"/>
  <c r="E14" i="19" s="1"/>
  <c r="C24" i="2" l="1"/>
  <c r="C18" i="23"/>
  <c r="C21" i="23" s="1"/>
  <c r="C19" i="22"/>
  <c r="C20" i="15"/>
  <c r="G23" i="7"/>
  <c r="G24" i="7" s="1"/>
  <c r="C10" i="22" s="1"/>
  <c r="C12" i="2"/>
  <c r="C22" i="22" l="1"/>
  <c r="E22" i="22" s="1"/>
  <c r="C27" i="2"/>
  <c r="E27" i="2" s="1"/>
  <c r="C23" i="15"/>
  <c r="E23" i="15" s="1"/>
  <c r="E21" i="23"/>
  <c r="G11" i="10"/>
  <c r="E32" i="2" l="1"/>
  <c r="G13" i="10"/>
  <c r="C34" i="2" l="1"/>
  <c r="C25" i="15"/>
  <c r="E25" i="15" s="1"/>
  <c r="D14" i="20" l="1"/>
  <c r="G11" i="7" l="1"/>
  <c r="E10" i="11" l="1"/>
  <c r="E11" i="11" s="1"/>
  <c r="F10" i="20" s="1"/>
  <c r="F13" i="20" s="1"/>
  <c r="F14" i="20" s="1"/>
  <c r="C11" i="2" s="1"/>
  <c r="E34" i="2"/>
  <c r="C13" i="2" l="1"/>
  <c r="C14" i="2" s="1"/>
  <c r="C15" i="2" s="1"/>
  <c r="C11" i="15"/>
  <c r="E24" i="22"/>
  <c r="E15" i="2" l="1"/>
  <c r="E35" i="2" s="1"/>
  <c r="C9" i="15" l="1"/>
  <c r="C12" i="15" l="1"/>
  <c r="C13" i="15" s="1"/>
  <c r="C14" i="15" l="1"/>
  <c r="E14" i="15" s="1"/>
  <c r="E26" i="15" s="1"/>
  <c r="C9" i="22" l="1"/>
  <c r="C11" i="22" s="1"/>
  <c r="C12" i="22" s="1"/>
  <c r="C13" i="22" s="1"/>
  <c r="E13" i="22" s="1"/>
  <c r="E29" i="22" s="1"/>
  <c r="C9" i="23" l="1"/>
  <c r="C10" i="23" s="1"/>
  <c r="C11" i="23" s="1"/>
  <c r="C12" i="23" l="1"/>
  <c r="E12" i="23" s="1"/>
  <c r="E28" i="23" s="1"/>
</calcChain>
</file>

<file path=xl/sharedStrings.xml><?xml version="1.0" encoding="utf-8"?>
<sst xmlns="http://schemas.openxmlformats.org/spreadsheetml/2006/main" count="379" uniqueCount="163">
  <si>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</si>
  <si>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</si>
  <si>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</si>
  <si>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</si>
  <si>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</si>
  <si>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</si>
  <si>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</si>
  <si>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</si>
  <si>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</si>
  <si>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</si>
  <si>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</si>
  <si>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</si>
  <si>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</si>
  <si>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</si>
  <si>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</si>
  <si>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</si>
  <si>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</si>
  <si>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</si>
  <si>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</si>
  <si>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</si>
  <si>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</si>
  <si>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</si>
  <si>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</si>
  <si>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</si>
  <si>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</si>
  <si>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</si>
  <si>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</si>
  <si>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</si>
  <si>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</si>
  <si>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</si>
  <si>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</si>
  <si>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</si>
  <si>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</si>
  <si>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</si>
  <si>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</si>
  <si>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</si>
  <si>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</si>
  <si>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</si>
  <si>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</si>
  <si>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</si>
  <si>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</si>
  <si>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</si>
  <si>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</si>
  <si>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</si>
  <si>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</si>
  <si>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</si>
  <si>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</si>
  <si>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</si>
  <si>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</si>
  <si>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</si>
  <si>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</si>
  <si>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</si>
  <si>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</si>
  <si>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</si>
  <si>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</si>
  <si>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</si>
  <si>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</si>
  <si>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</si>
  <si>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</si>
  <si>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</si>
  <si>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</si>
  <si>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</si>
  <si>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</si>
  <si>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</si>
  <si>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</si>
  <si>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</si>
  <si>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</si>
  <si>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</si>
  <si>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</si>
  <si>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</si>
  <si>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</si>
  <si>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</si>
  <si>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</si>
  <si>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</si>
  <si>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</si>
  <si>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</si>
  <si>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</si>
  <si>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</si>
  <si>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</si>
  <si>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</si>
  <si>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</si>
  <si>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</si>
  <si>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</si>
  <si>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</si>
  <si>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</si>
  <si>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</si>
  <si>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</si>
  <si>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</si>
  <si>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</si>
  <si>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</si>
  <si>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</si>
  <si>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</si>
  <si>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</si>
  <si>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</si>
  <si>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</si>
  <si>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</si>
  <si>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</si>
  <si>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</si>
  <si>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</si>
  <si>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</si>
  <si>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</si>
  <si>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</si>
  <si>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</si>
  <si>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</si>
  <si>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</si>
  <si>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</si>
  <si>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</si>
  <si>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</si>
  <si>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</si>
  <si>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</si>
  <si>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</si>
  <si>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</si>
  <si>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</si>
  <si>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</si>
  <si>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</si>
  <si>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</si>
  <si>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</si>
  <si>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</si>
  <si>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</si>
  <si>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</si>
  <si>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</si>
  <si>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</si>
  <si>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</si>
  <si>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</si>
  <si>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</si>
  <si>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</si>
  <si>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</si>
  <si>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</si>
  <si>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</si>
  <si>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</si>
  <si>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</si>
  <si>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</si>
  <si>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</si>
  <si>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</si>
  <si>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</si>
  <si>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</si>
  <si>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</si>
  <si>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</si>
  <si>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</si>
  <si>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</si>
  <si>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</si>
  <si>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</si>
  <si>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</si>
  <si>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</si>
  <si>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</si>
  <si>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</si>
  <si>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</si>
  <si>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</si>
  <si>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</si>
  <si>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</si>
  <si>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</si>
  <si>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Bemærk desuden, at korrektion af ikke-påvirkelige omkostninger ikke er medtaget i denne opgørelse, men fremgår af fane 5.</t>
  </si>
  <si>
    <t>Ingen bortfald eller nedsættelse</t>
  </si>
  <si>
    <t>Regnvandsledning Vallensbæk Stationstorv</t>
  </si>
  <si>
    <t>Oprensning af Modelskibssøen</t>
  </si>
  <si>
    <t>Samlet korrektioner for overholdelse af indtægtsrammer</t>
  </si>
  <si>
    <t>Afgift til Forsyningsekretariatet</t>
  </si>
  <si>
    <t>Køb af ydelser og produkter fra andre vandselskaber reguleret af vandsektorloven</t>
  </si>
  <si>
    <t>Skatter og afgifter</t>
  </si>
  <si>
    <t xml:space="preserve">Medfinansiering efter prisloftbekendtgørelsen </t>
  </si>
  <si>
    <t>Fane 11: Bortfald eller nedsættelse af omkostninger til mål, medfinansiering eller udvidelse</t>
  </si>
  <si>
    <t>Fane 12: Nøgletal</t>
  </si>
  <si>
    <t>Pumpestationer i brønde (&lt; 6,25 m2),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</si>
</sst>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Spildevand/Energi%20Viborg%20Vand%20AS%20(S014)/&#216;R2019/Bilag%20A%20-%20Energi%20Viborg%20Vand%20AS%20(S014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Ikke-påvirkelige omk."/>
      <sheetName val="Fane 5. Generelt eff. krav"/>
      <sheetName val="Fane 6. Hist. over el. underdæk"/>
      <sheetName val="Fane 7. Kontrol af ØR2017"/>
      <sheetName val="Fane 8. Anlægsprojekter"/>
      <sheetName val="Fane 9. Tillæg"/>
      <sheetName val="Fane 10. Tilknyttet aktivitet"/>
      <sheetName val="Fane 11. Bortfald"/>
      <sheetName val="Fane 12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G18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70" t="s">
        <v>101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32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31</v>
      </c>
      <c r="D14" s="77" t="s">
        <v>94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92</v>
      </c>
      <c r="D15" s="77" t="s">
        <v>95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93</v>
      </c>
      <c r="D16" s="77" t="s">
        <v>130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71" t="s">
        <v>96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8</v>
      </c>
      <c r="D18" s="71" t="s">
        <v>98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9</v>
      </c>
      <c r="D19" s="71" t="s">
        <v>97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10</v>
      </c>
      <c r="D20" s="74" t="s">
        <v>127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11</v>
      </c>
      <c r="D21" s="66" t="s">
        <v>99</v>
      </c>
      <c r="E21" s="67"/>
      <c r="F21" s="67"/>
      <c r="G21" s="68"/>
      <c r="H21" s="1"/>
      <c r="I21" s="1"/>
    </row>
    <row r="22" spans="1:9" x14ac:dyDescent="0.25">
      <c r="A22" s="1"/>
      <c r="B22" s="1"/>
      <c r="C22" s="6" t="s">
        <v>12</v>
      </c>
      <c r="D22" s="66" t="s">
        <v>128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13</v>
      </c>
      <c r="D23" s="66" t="s">
        <v>102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25</v>
      </c>
      <c r="D24" s="83" t="s">
        <v>28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0" t="s">
        <v>100</v>
      </c>
      <c r="E25" s="81"/>
      <c r="F25" s="81"/>
      <c r="G25" s="82"/>
      <c r="H25" s="1"/>
      <c r="I25" s="1"/>
    </row>
    <row r="26" spans="1:9" x14ac:dyDescent="0.25">
      <c r="A26" s="1"/>
      <c r="B26" s="1"/>
      <c r="C26" s="6" t="s">
        <v>30</v>
      </c>
      <c r="D26" s="80" t="s">
        <v>65</v>
      </c>
      <c r="E26" s="81"/>
      <c r="F26" s="81"/>
      <c r="G26" s="82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-5057752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-5057752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103</v>
      </c>
      <c r="C9" s="93"/>
      <c r="D9" s="94"/>
      <c r="E9" s="11">
        <v>24714805.594999999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104</v>
      </c>
      <c r="C10" s="93"/>
      <c r="D10" s="94"/>
      <c r="E10" s="11">
        <v>23632462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111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105</v>
      </c>
      <c r="C12" s="99"/>
      <c r="D12" s="100"/>
      <c r="E12" s="17">
        <f>E9-(E10-E11)</f>
        <v>1082343.5949999988</v>
      </c>
      <c r="F12" s="25" t="s">
        <v>3</v>
      </c>
      <c r="G12" s="17">
        <f>E12</f>
        <v>1082343.5949999988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115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112</v>
      </c>
      <c r="C18" s="96"/>
      <c r="D18" s="9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114</v>
      </c>
      <c r="C20" s="96"/>
      <c r="D20" s="9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116</v>
      </c>
      <c r="C21" s="90"/>
      <c r="D21" s="90"/>
      <c r="E21" s="90"/>
      <c r="F21" s="91"/>
      <c r="G21" s="20">
        <f>E20</f>
        <v>0</v>
      </c>
      <c r="H21" s="21" t="s">
        <v>3</v>
      </c>
      <c r="I21" s="1"/>
    </row>
    <row r="22" spans="1:9" x14ac:dyDescent="0.25">
      <c r="A22" s="1"/>
      <c r="B22" s="89" t="s">
        <v>117</v>
      </c>
      <c r="C22" s="90"/>
      <c r="D22" s="90"/>
      <c r="E22" s="90"/>
      <c r="F22" s="91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139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140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39" x14ac:dyDescent="0.25">
      <c r="A10" s="1"/>
      <c r="B10" s="61" t="s">
        <v>162</v>
      </c>
      <c r="C10" s="62">
        <v>10</v>
      </c>
      <c r="D10" s="11">
        <v>81993.02</v>
      </c>
      <c r="E10" s="11">
        <f>D10/C10</f>
        <v>8199.3019999999997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89" t="s">
        <v>141</v>
      </c>
      <c r="C11" s="90"/>
      <c r="D11" s="91"/>
      <c r="E11" s="20">
        <f>SUM(E10:E10)</f>
        <v>8199.3019999999997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8199.3019999999997</v>
      </c>
      <c r="G10" s="22" t="s">
        <v>3</v>
      </c>
      <c r="H10" s="1"/>
    </row>
    <row r="11" spans="1:8" x14ac:dyDescent="0.25">
      <c r="A11" s="1"/>
      <c r="B11" s="63" t="s">
        <v>153</v>
      </c>
      <c r="C11" s="64"/>
      <c r="D11" s="11">
        <v>0</v>
      </c>
      <c r="E11" s="22" t="s">
        <v>3</v>
      </c>
      <c r="F11" s="11">
        <v>15446</v>
      </c>
      <c r="G11" s="22" t="s">
        <v>3</v>
      </c>
      <c r="H11" s="1"/>
    </row>
    <row r="12" spans="1:8" x14ac:dyDescent="0.25">
      <c r="A12" s="1"/>
      <c r="B12" s="56" t="s">
        <v>154</v>
      </c>
      <c r="C12" s="57"/>
      <c r="D12" s="58">
        <v>124696</v>
      </c>
      <c r="E12" s="22" t="s">
        <v>3</v>
      </c>
      <c r="F12" s="11">
        <v>0</v>
      </c>
      <c r="G12" s="22" t="s">
        <v>3</v>
      </c>
      <c r="H12" s="1"/>
    </row>
    <row r="13" spans="1:8" x14ac:dyDescent="0.25">
      <c r="A13" s="1"/>
      <c r="B13" s="38" t="s">
        <v>144</v>
      </c>
      <c r="C13" s="40"/>
      <c r="D13" s="20">
        <f>SUM(D10:D12)</f>
        <v>124696</v>
      </c>
      <c r="E13" s="21" t="s">
        <v>3</v>
      </c>
      <c r="F13" s="20">
        <f>SUM(F10:F12)</f>
        <v>23645.302</v>
      </c>
      <c r="G13" s="21" t="s">
        <v>3</v>
      </c>
      <c r="H13" s="1"/>
    </row>
    <row r="14" spans="1:8" x14ac:dyDescent="0.25">
      <c r="A14" s="1"/>
      <c r="B14" s="38" t="s">
        <v>145</v>
      </c>
      <c r="C14" s="40"/>
      <c r="D14" s="20">
        <f>D13*(1+Prisudvikling2019)</f>
        <v>126803.36239999998</v>
      </c>
      <c r="E14" s="21" t="s">
        <v>3</v>
      </c>
      <c r="F14" s="20">
        <f>F13*(1+Prisudvikling2019)</f>
        <v>24044.907603799998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160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18021847.727703389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Tillæg'!D14,'Fane 10. Tillæg'!F14)</f>
        <v>150848.27000379999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231426.80190489723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-312870.08759340551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18091252.71201868</v>
      </c>
      <c r="D15" s="18" t="s">
        <v>3</v>
      </c>
      <c r="E15" s="17">
        <f>C15</f>
        <v>18091252.71201868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146</v>
      </c>
      <c r="C17" s="11">
        <v>1289464</v>
      </c>
      <c r="D17" s="8" t="s">
        <v>3</v>
      </c>
      <c r="E17" s="12"/>
      <c r="F17" s="13"/>
      <c r="G17" s="1"/>
    </row>
    <row r="18" spans="1:7" x14ac:dyDescent="0.25">
      <c r="A18" s="1"/>
      <c r="B18" s="42" t="s">
        <v>147</v>
      </c>
      <c r="C18" s="11">
        <f>-(C17*(GenereltKrav))</f>
        <v>-21920.888000000003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148</v>
      </c>
      <c r="C19" s="17">
        <f>SUM(C17:C18)</f>
        <v>1267543.112</v>
      </c>
      <c r="D19" s="18" t="s">
        <v>3</v>
      </c>
      <c r="E19" s="17">
        <f>C19</f>
        <v>1267543.112</v>
      </c>
      <c r="F19" s="18" t="s">
        <v>3</v>
      </c>
      <c r="G19" s="1"/>
    </row>
    <row r="20" spans="1:7" x14ac:dyDescent="0.25">
      <c r="A20" s="1"/>
      <c r="B20" s="44" t="s">
        <v>149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2" t="s">
        <v>147</v>
      </c>
      <c r="C21" s="11">
        <f>-C20*GenereltKrav</f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3" t="s">
        <v>150</v>
      </c>
      <c r="C22" s="17">
        <f>SUM(C20:C21)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38" t="s">
        <v>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2" t="s">
        <v>21</v>
      </c>
      <c r="C24" s="11">
        <f>'Fane 5. Ikke-påvirkelige omk.'!E14</f>
        <v>5562234.8149441192</v>
      </c>
      <c r="D24" s="8" t="s">
        <v>3</v>
      </c>
      <c r="E24" s="12"/>
      <c r="F24" s="13"/>
      <c r="G24" s="1"/>
    </row>
    <row r="25" spans="1:7" ht="15" customHeight="1" x14ac:dyDescent="0.25">
      <c r="A25" s="1"/>
      <c r="B25" s="42" t="s">
        <v>83</v>
      </c>
      <c r="C25" s="11">
        <v>522880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42" t="s">
        <v>159</v>
      </c>
      <c r="C26" s="11">
        <v>766282</v>
      </c>
      <c r="D26" s="8" t="s">
        <v>3</v>
      </c>
      <c r="E26" s="12"/>
      <c r="F26" s="13"/>
      <c r="G26" s="1"/>
    </row>
    <row r="27" spans="1:7" ht="15" customHeight="1" x14ac:dyDescent="0.25">
      <c r="A27" s="1"/>
      <c r="B27" s="29" t="s">
        <v>84</v>
      </c>
      <c r="C27" s="17">
        <f>SUM(C24:C26)</f>
        <v>6851396.8149441192</v>
      </c>
      <c r="D27" s="18" t="s">
        <v>3</v>
      </c>
      <c r="E27" s="17">
        <f>C27</f>
        <v>6851396.8149441192</v>
      </c>
      <c r="F27" s="18" t="s">
        <v>3</v>
      </c>
      <c r="G27" s="1"/>
    </row>
    <row r="28" spans="1:7" x14ac:dyDescent="0.25">
      <c r="A28" s="1"/>
      <c r="B28" s="38" t="s">
        <v>85</v>
      </c>
      <c r="C28" s="39"/>
      <c r="D28" s="39"/>
      <c r="E28" s="39"/>
      <c r="F28" s="40"/>
      <c r="G28" s="1"/>
    </row>
    <row r="29" spans="1:7" ht="15" customHeight="1" x14ac:dyDescent="0.25">
      <c r="A29" s="1"/>
      <c r="B29" s="41" t="s">
        <v>61</v>
      </c>
      <c r="C29" s="7">
        <v>0</v>
      </c>
      <c r="D29" s="8" t="s">
        <v>3</v>
      </c>
      <c r="E29" s="9"/>
      <c r="F29" s="10"/>
      <c r="G29" s="1"/>
    </row>
    <row r="30" spans="1:7" x14ac:dyDescent="0.25">
      <c r="A30" s="1"/>
      <c r="B30" s="41" t="s">
        <v>62</v>
      </c>
      <c r="C30" s="7">
        <v>-791870</v>
      </c>
      <c r="D30" s="8" t="s">
        <v>3</v>
      </c>
      <c r="E30" s="33"/>
      <c r="F30" s="13"/>
      <c r="G30" s="1"/>
    </row>
    <row r="31" spans="1:7" ht="15" customHeight="1" x14ac:dyDescent="0.25">
      <c r="A31" s="1"/>
      <c r="B31" s="42" t="s">
        <v>63</v>
      </c>
      <c r="C31" s="7">
        <v>29201.300004286655</v>
      </c>
      <c r="D31" s="8" t="s">
        <v>3</v>
      </c>
      <c r="E31" s="32"/>
      <c r="F31" s="13"/>
      <c r="G31" s="1"/>
    </row>
    <row r="32" spans="1:7" x14ac:dyDescent="0.25">
      <c r="A32" s="1"/>
      <c r="B32" s="29" t="s">
        <v>64</v>
      </c>
      <c r="C32" s="17">
        <f>SUM(C29:C31)</f>
        <v>-762668.69999571331</v>
      </c>
      <c r="D32" s="18" t="s">
        <v>3</v>
      </c>
      <c r="E32" s="17">
        <f>C32</f>
        <v>-762668.69999571331</v>
      </c>
      <c r="F32" s="18" t="s">
        <v>3</v>
      </c>
      <c r="G32" s="1"/>
    </row>
    <row r="33" spans="1:7" x14ac:dyDescent="0.25">
      <c r="A33" s="1"/>
      <c r="B33" s="38" t="s">
        <v>15</v>
      </c>
      <c r="C33" s="39"/>
      <c r="D33" s="39"/>
      <c r="E33" s="39"/>
      <c r="F33" s="40"/>
      <c r="G33" s="1"/>
    </row>
    <row r="34" spans="1:7" x14ac:dyDescent="0.25">
      <c r="A34" s="1"/>
      <c r="B34" s="29" t="s">
        <v>23</v>
      </c>
      <c r="C34" s="17">
        <f>'Fane 7. Hist. over el. underdæk'!G13</f>
        <v>0</v>
      </c>
      <c r="D34" s="18" t="s">
        <v>3</v>
      </c>
      <c r="E34" s="17">
        <f>C34</f>
        <v>0</v>
      </c>
      <c r="F34" s="18" t="s">
        <v>3</v>
      </c>
      <c r="G34" s="1"/>
    </row>
    <row r="35" spans="1:7" x14ac:dyDescent="0.25">
      <c r="A35" s="1"/>
      <c r="B35" s="38" t="s">
        <v>35</v>
      </c>
      <c r="C35" s="39"/>
      <c r="D35" s="40"/>
      <c r="E35" s="20">
        <f>SUM(E15,E22,E27,E32,E34,E19)</f>
        <v>25447523.938967083</v>
      </c>
      <c r="F35" s="21" t="s">
        <v>3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18091252.71201868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150789.84646882751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230392.2267978063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-311467.96395988029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18010176.974856608</v>
      </c>
      <c r="D14" s="18" t="s">
        <v>3</v>
      </c>
      <c r="E14" s="17">
        <f>C14</f>
        <v>18010176.974856608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147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150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5656236.5833166745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42" t="s">
        <v>159</v>
      </c>
      <c r="C22" s="11">
        <v>766459</v>
      </c>
      <c r="D22" s="8" t="s">
        <v>3</v>
      </c>
      <c r="E22" s="12"/>
      <c r="F22" s="13"/>
      <c r="G22" s="1"/>
    </row>
    <row r="23" spans="1:7" ht="14.25" customHeight="1" x14ac:dyDescent="0.25">
      <c r="A23" s="1"/>
      <c r="B23" s="29" t="s">
        <v>84</v>
      </c>
      <c r="C23" s="17">
        <f>SUM(C20:C22)</f>
        <v>6422695.5833166745</v>
      </c>
      <c r="D23" s="18" t="s">
        <v>3</v>
      </c>
      <c r="E23" s="17">
        <f>C23</f>
        <v>6422695.5833166745</v>
      </c>
      <c r="F23" s="18" t="s">
        <v>3</v>
      </c>
      <c r="G23" s="1"/>
    </row>
    <row r="24" spans="1:7" x14ac:dyDescent="0.25">
      <c r="A24" s="1"/>
      <c r="B24" s="38" t="s">
        <v>15</v>
      </c>
      <c r="C24" s="39"/>
      <c r="D24" s="39"/>
      <c r="E24" s="39"/>
      <c r="F24" s="40"/>
      <c r="G24" s="1"/>
    </row>
    <row r="25" spans="1:7" ht="15" customHeight="1" x14ac:dyDescent="0.25">
      <c r="A25" s="1"/>
      <c r="B25" s="29" t="s">
        <v>23</v>
      </c>
      <c r="C25" s="17">
        <f>IF('Fane 7. Hist. over el. underdæk'!G12&gt;1,'Fane 7. Hist. over el. underdæk'!G13,0)</f>
        <v>0</v>
      </c>
      <c r="D25" s="18" t="s">
        <v>3</v>
      </c>
      <c r="E25" s="17">
        <f>C25</f>
        <v>0</v>
      </c>
      <c r="F25" s="18" t="s">
        <v>3</v>
      </c>
      <c r="G25" s="1"/>
    </row>
    <row r="26" spans="1:7" x14ac:dyDescent="0.25">
      <c r="A26" s="1"/>
      <c r="B26" s="38" t="s">
        <v>68</v>
      </c>
      <c r="C26" s="39"/>
      <c r="D26" s="40"/>
      <c r="E26" s="20">
        <f>SUM(E14,E18,E23,E25)</f>
        <v>24432872.558173284</v>
      </c>
      <c r="F26" s="2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18010176.974856608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116142.37650944846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306334.79703808628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-313355.12052287039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18119299.027881268</v>
      </c>
      <c r="D13" s="18" t="s">
        <v>3</v>
      </c>
      <c r="E13" s="17">
        <f>C13</f>
        <v>18119299.027881268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147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150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5751826.9815747254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2" t="s">
        <v>159</v>
      </c>
      <c r="C21" s="11">
        <v>766638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29" t="s">
        <v>84</v>
      </c>
      <c r="C22" s="17">
        <f>SUM(C19:C21)</f>
        <v>6518464.9815747254</v>
      </c>
      <c r="D22" s="18" t="s">
        <v>3</v>
      </c>
      <c r="E22" s="17">
        <f>C22</f>
        <v>6518464.9815747254</v>
      </c>
      <c r="F22" s="18" t="s">
        <v>3</v>
      </c>
      <c r="G22" s="1"/>
    </row>
    <row r="23" spans="1:7" x14ac:dyDescent="0.25">
      <c r="A23" s="1"/>
      <c r="B23" s="38" t="s">
        <v>122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33</v>
      </c>
      <c r="C24" s="17">
        <f>'Fane 6. Korrektion prisloft 16'!G13</f>
        <v>-187710.09920741685</v>
      </c>
      <c r="D24" s="18" t="s">
        <v>3</v>
      </c>
      <c r="E24" s="17">
        <f>C24</f>
        <v>-187710.09920741685</v>
      </c>
      <c r="F24" s="18" t="s">
        <v>3</v>
      </c>
      <c r="G24" s="1"/>
    </row>
    <row r="25" spans="1:7" x14ac:dyDescent="0.25">
      <c r="A25" s="1"/>
      <c r="B25" s="38" t="s">
        <v>119</v>
      </c>
      <c r="C25" s="39"/>
      <c r="D25" s="39"/>
      <c r="E25" s="39"/>
      <c r="F25" s="40"/>
      <c r="G25" s="1"/>
    </row>
    <row r="26" spans="1:7" ht="15" customHeight="1" x14ac:dyDescent="0.25">
      <c r="A26" s="1"/>
      <c r="B26" s="41" t="s">
        <v>120</v>
      </c>
      <c r="C26" s="11">
        <f>'Fane 6. Korrektion prisloft 16'!G22</f>
        <v>576877.01102888247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41" t="s">
        <v>118</v>
      </c>
      <c r="C27" s="11">
        <f>'Fane 8. Kontrol af ØR2017'!G22</f>
        <v>0</v>
      </c>
      <c r="D27" s="8" t="s">
        <v>3</v>
      </c>
      <c r="E27" s="14"/>
      <c r="F27" s="13"/>
      <c r="G27" s="1"/>
    </row>
    <row r="28" spans="1:7" ht="15" customHeight="1" x14ac:dyDescent="0.25">
      <c r="A28" s="1"/>
      <c r="B28" s="18" t="s">
        <v>121</v>
      </c>
      <c r="C28" s="55">
        <f>SUM(C26:C27)</f>
        <v>576877.01102888247</v>
      </c>
      <c r="D28" s="36" t="s">
        <v>3</v>
      </c>
      <c r="E28" s="17">
        <f>C28</f>
        <v>576877.01102888247</v>
      </c>
      <c r="F28" s="18" t="s">
        <v>3</v>
      </c>
      <c r="G28" s="1"/>
    </row>
    <row r="29" spans="1:7" x14ac:dyDescent="0.25">
      <c r="A29" s="1"/>
      <c r="B29" s="38" t="s">
        <v>82</v>
      </c>
      <c r="C29" s="39"/>
      <c r="D29" s="40"/>
      <c r="E29" s="20">
        <f>SUM(E13,E17,E22,E24,E28)</f>
        <v>25026930.92127746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18119299.027881268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306216.1535711934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-313233.75808469183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18112281.423367769</v>
      </c>
      <c r="D12" s="18" t="s">
        <v>3</v>
      </c>
      <c r="E12" s="17">
        <f>C12</f>
        <v>18112281.423367769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147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150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5849032.8575633373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159</v>
      </c>
      <c r="C20" s="11">
        <v>766820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SUM(C18:C20)</f>
        <v>6615852.8575633373</v>
      </c>
      <c r="D21" s="18" t="s">
        <v>3</v>
      </c>
      <c r="E21" s="17">
        <f>C21</f>
        <v>6615852.8575633373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2.3. Økonomisk ramme 2021'!C24*(1+Prisudvikling2019)</f>
        <v>-190882.39988402216</v>
      </c>
      <c r="D23" s="18" t="s">
        <v>3</v>
      </c>
      <c r="E23" s="17">
        <f>C23</f>
        <v>-190882.39988402216</v>
      </c>
      <c r="F23" s="18" t="s">
        <v>3</v>
      </c>
      <c r="G23" s="1"/>
    </row>
    <row r="24" spans="1:7" ht="15" customHeight="1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586626.23251527047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2.3. Økonomisk ramme 2021'!C27*(1+Prisudvikling2019)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155</v>
      </c>
      <c r="C27" s="55">
        <f>SUM(C25:C26)</f>
        <v>586626.23251527047</v>
      </c>
      <c r="D27" s="36" t="s">
        <v>3</v>
      </c>
      <c r="E27" s="17">
        <f>C27</f>
        <v>586626.23251527047</v>
      </c>
      <c r="F27" s="18" t="s">
        <v>3</v>
      </c>
      <c r="G27" s="1"/>
    </row>
    <row r="28" spans="1:7" x14ac:dyDescent="0.25">
      <c r="A28" s="1"/>
      <c r="B28" s="38" t="s">
        <v>78</v>
      </c>
      <c r="C28" s="39"/>
      <c r="D28" s="40"/>
      <c r="E28" s="20">
        <f>SUM(E12,E16,E21,E23,E27)</f>
        <v>25123878.113562357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90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23130744.418403387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5108896.6906999992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18021847.727703389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4760461.2456389572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13656503.876264216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18416965.121903174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5142902.8637429578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13384509.777578037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18527412.641320996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382441.61810400058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-271994.09868617915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110447.51941782143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116142.37650944846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131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156</v>
      </c>
      <c r="C10" s="46"/>
      <c r="D10" s="47"/>
      <c r="E10" s="11">
        <v>7022</v>
      </c>
      <c r="F10" s="22" t="s">
        <v>3</v>
      </c>
      <c r="G10" s="1"/>
      <c r="H10" s="1"/>
    </row>
    <row r="11" spans="1:8" ht="26.25" x14ac:dyDescent="0.25">
      <c r="A11" s="1"/>
      <c r="B11" s="41" t="s">
        <v>157</v>
      </c>
      <c r="C11" s="46"/>
      <c r="D11" s="47"/>
      <c r="E11" s="11">
        <v>5220286</v>
      </c>
      <c r="F11" s="22" t="s">
        <v>3</v>
      </c>
      <c r="G11" s="1"/>
      <c r="H11" s="1"/>
    </row>
    <row r="12" spans="1:8" x14ac:dyDescent="0.25">
      <c r="A12" s="1"/>
      <c r="B12" s="45" t="s">
        <v>158</v>
      </c>
      <c r="C12" s="46"/>
      <c r="D12" s="47"/>
      <c r="E12" s="11">
        <v>151584</v>
      </c>
      <c r="F12" s="22" t="s">
        <v>3</v>
      </c>
      <c r="G12" s="1"/>
      <c r="H12" s="1"/>
    </row>
    <row r="13" spans="1:8" x14ac:dyDescent="0.25">
      <c r="A13" s="1"/>
      <c r="B13" s="38" t="s">
        <v>134</v>
      </c>
      <c r="C13" s="39"/>
      <c r="D13" s="40"/>
      <c r="E13" s="20">
        <f>SUM(E10:E12)</f>
        <v>5378892</v>
      </c>
      <c r="F13" s="21" t="s">
        <v>3</v>
      </c>
      <c r="G13" s="1"/>
      <c r="H13" s="1"/>
    </row>
    <row r="14" spans="1:8" x14ac:dyDescent="0.25">
      <c r="A14" s="1"/>
      <c r="B14" s="38" t="s">
        <v>135</v>
      </c>
      <c r="C14" s="39"/>
      <c r="D14" s="40"/>
      <c r="E14" s="20">
        <f>E13*(1+Prisudvikling2019)^2</f>
        <v>5562234.8149441192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-690081.24340000004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113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123</v>
      </c>
      <c r="C11" s="96"/>
      <c r="D11" s="97"/>
      <c r="E11" s="11">
        <f>E9/E10</f>
        <v>-172520.31085000001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129</v>
      </c>
      <c r="C12" s="90"/>
      <c r="D12" s="90"/>
      <c r="E12" s="90"/>
      <c r="F12" s="91"/>
      <c r="G12" s="20">
        <f>E11</f>
        <v>-172520.31085000001</v>
      </c>
      <c r="H12" s="21" t="s">
        <v>3</v>
      </c>
      <c r="I12" s="1"/>
    </row>
    <row r="13" spans="1:9" x14ac:dyDescent="0.25">
      <c r="A13" s="1"/>
      <c r="B13" s="89" t="s">
        <v>125</v>
      </c>
      <c r="C13" s="90"/>
      <c r="D13" s="90"/>
      <c r="E13" s="90"/>
      <c r="F13" s="91"/>
      <c r="G13" s="20">
        <f>G12*(1+Prisudvikling2018)*(1+Prisudvikling2019)^4</f>
        <v>-187710.09920741685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120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120</v>
      </c>
      <c r="C18" s="93"/>
      <c r="D18" s="94"/>
      <c r="E18" s="11">
        <v>2120780.9635207802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124</v>
      </c>
      <c r="C20" s="96"/>
      <c r="D20" s="97"/>
      <c r="E20" s="11">
        <f>E18/E19</f>
        <v>530195.24088019505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129</v>
      </c>
      <c r="C21" s="90"/>
      <c r="D21" s="90"/>
      <c r="E21" s="90"/>
      <c r="F21" s="91"/>
      <c r="G21" s="20">
        <f>E20</f>
        <v>530195.24088019505</v>
      </c>
      <c r="H21" s="21" t="s">
        <v>3</v>
      </c>
      <c r="I21" s="1"/>
    </row>
    <row r="22" spans="1:9" x14ac:dyDescent="0.25">
      <c r="A22" s="1"/>
      <c r="B22" s="89" t="s">
        <v>125</v>
      </c>
      <c r="C22" s="90"/>
      <c r="D22" s="90"/>
      <c r="E22" s="90"/>
      <c r="F22" s="91"/>
      <c r="G22" s="20">
        <f>G21*(1+Prisudvikling2018)*(1+Prisudvikling2019)^4</f>
        <v>576877.01102888247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2018-08-31T09:26:44Z</dcterms:modified>
</cp:coreProperties>
</file>