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G12" i="10" l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2" i="11" l="1"/>
  <c r="F12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E28" i="2" l="1"/>
  <c r="G14" i="10"/>
  <c r="C30" i="2" l="1"/>
  <c r="C24" i="15"/>
  <c r="E24" i="15" s="1"/>
  <c r="D12" i="20" l="1"/>
  <c r="G11" i="7" l="1"/>
  <c r="E11" i="11" l="1"/>
  <c r="E10" i="11" l="1"/>
  <c r="E12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<sst xmlns="http://schemas.openxmlformats.org/spreadsheetml/2006/main" count="364" uniqueCount="161">
  <si>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</si>
  <si>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</si>
  <si>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</si>
  <si>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</si>
  <si>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</si>
  <si>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</si>
  <si>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</si>
  <si>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</si>
  <si>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</si>
  <si>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</si>
  <si>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</si>
  <si>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</si>
  <si>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</si>
  <si>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</si>
  <si>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</si>
  <si>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</si>
  <si>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</si>
  <si>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</si>
  <si>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</si>
  <si>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</si>
  <si>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</si>
  <si>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</si>
  <si>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</si>
  <si>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</si>
  <si>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</si>
  <si>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</si>
  <si>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</si>
  <si>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</si>
  <si>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</si>
  <si>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</si>
  <si>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</si>
  <si>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</si>
  <si>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</si>
  <si>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</si>
  <si>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</si>
  <si>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</si>
  <si>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</si>
  <si>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</si>
  <si>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</si>
  <si>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</si>
  <si>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</si>
  <si>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</si>
  <si>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</si>
  <si>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</si>
  <si>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</si>
  <si>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</si>
  <si>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</si>
  <si>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</si>
  <si>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</si>
  <si>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</si>
  <si>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</si>
  <si>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</si>
  <si>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</si>
  <si>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</si>
  <si>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</si>
  <si>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</si>
  <si>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</si>
  <si>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</si>
  <si>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</si>
  <si>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</si>
  <si>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</si>
  <si>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</si>
  <si>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</si>
  <si>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</si>
  <si>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</si>
  <si>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</si>
  <si>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</si>
  <si>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</si>
  <si>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</si>
  <si>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</si>
  <si>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</si>
  <si>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</si>
  <si>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</si>
  <si>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</si>
  <si>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</si>
  <si>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</si>
  <si>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</si>
  <si>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</si>
  <si>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</si>
  <si>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</si>
  <si>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</si>
  <si>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</si>
  <si>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</si>
  <si>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</si>
  <si>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</si>
  <si>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</si>
  <si>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</si>
  <si>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</si>
  <si>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</si>
  <si>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</si>
  <si>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</si>
  <si>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</si>
  <si>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</si>
  <si>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</si>
  <si>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</si>
  <si>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</si>
  <si>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</si>
  <si>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</si>
  <si>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</si>
  <si>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</si>
  <si>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</si>
  <si>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</si>
  <si>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</si>
  <si>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</si>
  <si>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</si>
  <si>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</si>
  <si>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</si>
  <si>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</si>
  <si>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</si>
  <si>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</si>
  <si>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</si>
  <si>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</si>
  <si>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</si>
  <si>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</si>
  <si>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</si>
  <si>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</si>
  <si>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</si>
  <si>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</si>
  <si>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</si>
  <si>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</si>
  <si>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</si>
  <si>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</si>
  <si>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</si>
  <si>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</si>
  <si>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</si>
  <si>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</si>
  <si>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</si>
  <si>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</si>
  <si>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</si>
  <si>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</si>
  <si>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</si>
  <si>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</si>
  <si>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</si>
  <si>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</si>
  <si>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</si>
  <si>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</si>
  <si>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</si>
  <si>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</si>
  <si>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</si>
  <si>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</si>
  <si>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</si>
  <si>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</si>
  <si>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</si>
  <si>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</si>
  <si>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</si>
  <si>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</si>
  <si>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</si>
  <si>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</si>
  <si>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</si>
  <si>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</si>
  <si>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</si>
  <si>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</si>
  <si>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</si>
  <si>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</si>
  <si>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Over- eller underdækning i Gettrup Vandværk per 31. december 2015</t>
  </si>
  <si>
    <t>Samlet korrektioner for overholdelse af indtægtsrammer</t>
  </si>
  <si>
    <t>Beluftningsanlæg, iltningstrappe, Kontruktioner</t>
  </si>
  <si>
    <t>Elanlæg - vandværk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</si>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</sst>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-711284</v>
      </c>
      <c r="H9" s="22" t="s">
        <v>3</v>
      </c>
      <c r="I9" s="1"/>
    </row>
    <row r="10" spans="1:9" x14ac:dyDescent="0.25">
      <c r="A10" s="1"/>
      <c r="B10" s="45" t="s">
        <v>154</v>
      </c>
      <c r="C10" s="46"/>
      <c r="D10" s="46"/>
      <c r="E10" s="46"/>
      <c r="F10" s="47"/>
      <c r="G10" s="11">
        <v>-134728</v>
      </c>
      <c r="H10" s="22" t="s">
        <v>3</v>
      </c>
      <c r="I10" s="1"/>
    </row>
    <row r="11" spans="1:9" x14ac:dyDescent="0.25">
      <c r="A11" s="1"/>
      <c r="B11" s="45" t="s">
        <v>55</v>
      </c>
      <c r="C11" s="46"/>
      <c r="D11" s="46"/>
      <c r="E11" s="46"/>
      <c r="F11" s="47"/>
      <c r="G11" s="11">
        <v>-846011.98571428575</v>
      </c>
      <c r="H11" s="22" t="s">
        <v>3</v>
      </c>
      <c r="I11" s="1"/>
    </row>
    <row r="12" spans="1:9" x14ac:dyDescent="0.25">
      <c r="A12" s="1"/>
      <c r="B12" s="51" t="s">
        <v>19</v>
      </c>
      <c r="C12" s="52"/>
      <c r="D12" s="52"/>
      <c r="E12" s="52"/>
      <c r="F12" s="53"/>
      <c r="G12" s="31">
        <f>G9+G10-G11</f>
        <v>-1.4285714249126613E-2</v>
      </c>
      <c r="H12" s="26" t="s">
        <v>3</v>
      </c>
      <c r="I12" s="1"/>
    </row>
    <row r="13" spans="1:9" x14ac:dyDescent="0.25">
      <c r="A13" s="1"/>
      <c r="B13" s="45" t="s">
        <v>18</v>
      </c>
      <c r="C13" s="46"/>
      <c r="D13" s="46"/>
      <c r="E13" s="46"/>
      <c r="F13" s="47"/>
      <c r="G13" s="11">
        <v>0</v>
      </c>
      <c r="H13" s="22" t="s">
        <v>42</v>
      </c>
      <c r="I13" s="1"/>
    </row>
    <row r="14" spans="1:9" x14ac:dyDescent="0.25">
      <c r="A14" s="1"/>
      <c r="B14" s="38" t="s">
        <v>16</v>
      </c>
      <c r="C14" s="39"/>
      <c r="D14" s="39"/>
      <c r="E14" s="39"/>
      <c r="F14" s="40"/>
      <c r="G14" s="20">
        <f>IF(G13 = 0,0,G12/G13)</f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7284567.458333333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5510455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1774112.458333333</v>
      </c>
      <c r="F12" s="25" t="s">
        <v>3</v>
      </c>
      <c r="G12" s="17">
        <f>E12</f>
        <v>1774112.458333333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39" x14ac:dyDescent="0.25">
      <c r="A10" s="1"/>
      <c r="B10" s="61" t="s">
        <v>156</v>
      </c>
      <c r="C10" s="62">
        <v>50</v>
      </c>
      <c r="D10" s="11">
        <v>500000</v>
      </c>
      <c r="E10" s="11">
        <f>D10/C10</f>
        <v>10000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1" t="s">
        <v>157</v>
      </c>
      <c r="C11" s="62">
        <v>25</v>
      </c>
      <c r="D11" s="11">
        <v>965000</v>
      </c>
      <c r="E11" s="11">
        <f t="shared" ref="E11" si="0">D11/C11</f>
        <v>38600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87" t="s">
        <v>143</v>
      </c>
      <c r="C12" s="88"/>
      <c r="D12" s="89"/>
      <c r="E12" s="20">
        <f>SUM(E10:E11)</f>
        <v>48600</v>
      </c>
      <c r="F12" s="20">
        <f>SUM(F10:F11)</f>
        <v>0</v>
      </c>
      <c r="G12" s="20">
        <f>SUM(G10:G11)</f>
        <v>0</v>
      </c>
      <c r="H12" s="2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12:D12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Anlægsprojekter'!F12</f>
        <v>0</v>
      </c>
      <c r="E10" s="22" t="s">
        <v>3</v>
      </c>
      <c r="F10" s="11">
        <f>SUM('Fane 9. Anlægsprojekter'!E12,'Fane 9. Anlægsprojekter'!G12)</f>
        <v>48600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48600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49421.34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160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4494802.2737138569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49421.34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57919.209522165984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-78236.427995012404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4523906.3952410109</v>
      </c>
      <c r="D15" s="18" t="s">
        <v>3</v>
      </c>
      <c r="E15" s="17">
        <f>C15</f>
        <v>4523906.3952410109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2632434.4689316149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2632434.4689316149</v>
      </c>
      <c r="D23" s="18" t="s">
        <v>3</v>
      </c>
      <c r="E23" s="17">
        <f>C23</f>
        <v>2632434.4689316149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13260.399080447198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13260.399080447198</v>
      </c>
      <c r="D28" s="18" t="s">
        <v>3</v>
      </c>
      <c r="E28" s="17">
        <f>C28</f>
        <v>13260.399080447198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underdæk'!G14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7169601.2632530732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4523906.3952410109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49402.199115017989</v>
      </c>
      <c r="D11" s="8" t="s">
        <v>3</v>
      </c>
      <c r="E11" s="32"/>
      <c r="F11" s="13"/>
      <c r="G11" s="1"/>
    </row>
    <row r="12" spans="1:7" x14ac:dyDescent="0.25">
      <c r="A12" s="1"/>
      <c r="B12" s="42" t="s">
        <v>41</v>
      </c>
      <c r="C12" s="11">
        <f>(C9-C10-C11)*Prisudvikling2017+C10*Prisudvikling2018+C11*Prisudvikling2019</f>
        <v>57661.100455843909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-77886.647426846539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4503680.8482700083</v>
      </c>
      <c r="D14" s="18" t="s">
        <v>3</v>
      </c>
      <c r="E14" s="17">
        <f>C14</f>
        <v>4503680.8482700083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2676922.611456559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2676922.611456559</v>
      </c>
      <c r="D22" s="18" t="s">
        <v>3</v>
      </c>
      <c r="E22" s="17">
        <f>C22</f>
        <v>2676922.611456559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underdæk'!G13&gt;1,'Fane 7. Hist. over el. underdæk'!G14,0)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7180603.4597265674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4503680.8482700083</v>
      </c>
      <c r="D9" s="8" t="s">
        <v>3</v>
      </c>
      <c r="E9" s="9"/>
      <c r="F9" s="10"/>
      <c r="G9" s="1"/>
    </row>
    <row r="10" spans="1:7" x14ac:dyDescent="0.25">
      <c r="A10" s="1"/>
      <c r="B10" s="41" t="s">
        <v>27</v>
      </c>
      <c r="C10" s="7">
        <f>'Fane 4. Korrigeret grundlag'!G24</f>
        <v>-14983.147630826727</v>
      </c>
      <c r="D10" s="8" t="s">
        <v>3</v>
      </c>
      <c r="E10" s="32"/>
      <c r="F10" s="13"/>
      <c r="G10" s="1"/>
    </row>
    <row r="11" spans="1:7" x14ac:dyDescent="0.25">
      <c r="A11" s="1"/>
      <c r="B11" s="42" t="s">
        <v>41</v>
      </c>
      <c r="C11" s="11">
        <f>SUM(C9:C10)*Prisudvikling2019</f>
        <v>75858.991140802158</v>
      </c>
      <c r="D11" s="8" t="s">
        <v>3</v>
      </c>
      <c r="E11" s="12"/>
      <c r="F11" s="13"/>
      <c r="G11" s="1"/>
    </row>
    <row r="12" spans="1:7" x14ac:dyDescent="0.25">
      <c r="A12" s="1"/>
      <c r="B12" s="42" t="s">
        <v>14</v>
      </c>
      <c r="C12" s="11">
        <f>-SUM(C9:C11)*GenereltKrav</f>
        <v>-77597.463760259736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4486959.2280197246</v>
      </c>
      <c r="D13" s="18" t="s">
        <v>3</v>
      </c>
      <c r="E13" s="17">
        <f>C13</f>
        <v>4486959.2280197246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2722162.6035901746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2722162.6035901746</v>
      </c>
      <c r="D21" s="18" t="s">
        <v>3</v>
      </c>
      <c r="E21" s="17">
        <f>C21</f>
        <v>2722162.6035901746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-39803.238983298441</v>
      </c>
      <c r="D23" s="18" t="s">
        <v>3</v>
      </c>
      <c r="E23" s="17">
        <f>C23</f>
        <v>-39803.238983298441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135095.37433931246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135095.37433931246</v>
      </c>
      <c r="D27" s="36" t="s">
        <v>3</v>
      </c>
      <c r="E27" s="17">
        <f>C27</f>
        <v>135095.37433931246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7304413.9669659128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4486959.2280197246</v>
      </c>
      <c r="D9" s="8" t="s">
        <v>3</v>
      </c>
      <c r="E9" s="9"/>
      <c r="F9" s="10"/>
      <c r="G9" s="1"/>
    </row>
    <row r="10" spans="1:7" x14ac:dyDescent="0.25">
      <c r="A10" s="1"/>
      <c r="B10" s="42" t="s">
        <v>41</v>
      </c>
      <c r="C10" s="11">
        <f>C9*Prisudvikling2019</f>
        <v>75829.610953533338</v>
      </c>
      <c r="D10" s="8" t="s">
        <v>3</v>
      </c>
      <c r="E10" s="12"/>
      <c r="F10" s="13"/>
      <c r="G10" s="1"/>
    </row>
    <row r="11" spans="1:7" x14ac:dyDescent="0.25">
      <c r="A11" s="1"/>
      <c r="B11" s="42" t="s">
        <v>14</v>
      </c>
      <c r="C11" s="11">
        <f>-SUM(C9:C10)*GenereltKrav</f>
        <v>-77567.410262545382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4485221.4287107121</v>
      </c>
      <c r="D12" s="18" t="s">
        <v>3</v>
      </c>
      <c r="E12" s="17">
        <f>C12</f>
        <v>4485221.4287107121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2768167.1515908479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2768167.1515908479</v>
      </c>
      <c r="D20" s="18" t="s">
        <v>3</v>
      </c>
      <c r="E20" s="17">
        <f>C20</f>
        <v>2768167.1515908479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-40475.91372211618</v>
      </c>
      <c r="D22" s="18" t="s">
        <v>3</v>
      </c>
      <c r="E22" s="17">
        <f>C22</f>
        <v>-40475.91372211618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137378.48616564684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137378.48616564684</v>
      </c>
      <c r="D26" s="36" t="s">
        <v>3</v>
      </c>
      <c r="E26" s="17">
        <f>C26</f>
        <v>137378.48616564684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7350291.1527450904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7509633.736413857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3014831.4627000005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4494802.2737138569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2020817.118187079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2572378.3753923755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4593195.4935794547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2020816.7964696398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2558130.2243418996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4578947.0208115391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-0.32171743921935558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-14248.151050475892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-14248.472767915111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-14983.147630826727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158</v>
      </c>
      <c r="C10" s="46"/>
      <c r="D10" s="47"/>
      <c r="E10" s="11">
        <v>2506131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5409</v>
      </c>
      <c r="F11" s="22" t="s">
        <v>3</v>
      </c>
      <c r="G11" s="1"/>
      <c r="H11" s="1"/>
    </row>
    <row r="12" spans="1:8" x14ac:dyDescent="0.25">
      <c r="A12" s="1"/>
      <c r="B12" s="41" t="s">
        <v>149</v>
      </c>
      <c r="C12" s="46"/>
      <c r="D12" s="47"/>
      <c r="E12" s="11">
        <v>4233.96</v>
      </c>
      <c r="F12" s="22" t="s">
        <v>3</v>
      </c>
      <c r="G12" s="1"/>
      <c r="H12" s="1"/>
    </row>
    <row r="13" spans="1:8" x14ac:dyDescent="0.25">
      <c r="A13" s="1"/>
      <c r="B13" s="41" t="s">
        <v>150</v>
      </c>
      <c r="C13" s="46"/>
      <c r="D13" s="47"/>
      <c r="E13" s="11">
        <v>29890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2545663.96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2632434.4689316149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-146329.20000000001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-36582.300000000003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-36582.300000000003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-39803.238983298441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496653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124163.25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124163.25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135095.37433931246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2018-09-04T08:18:10Z</dcterms:modified>
</cp:coreProperties>
</file>