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9" i="11"/>
  <c r="F19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6" i="19"/>
  <c r="E17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8" i="11"/>
  <c r="E24" i="15" l="1"/>
  <c r="D12" i="20"/>
  <c r="C10" i="2" s="1"/>
  <c r="C16" i="2" s="1"/>
  <c r="C12" i="15" l="1"/>
  <c r="C12" i="22" s="1"/>
  <c r="C11" i="23" s="1"/>
  <c r="E17" i="11"/>
  <c r="E19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<sst xmlns="http://schemas.openxmlformats.org/spreadsheetml/2006/main" count="350" uniqueCount="155">
  <si>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</si>
  <si>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</si>
  <si>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</si>
  <si>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</si>
  <si>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</si>
  <si>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</si>
  <si>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</si>
  <si>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</si>
  <si>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</si>
  <si>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</si>
  <si>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</si>
  <si>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</si>
  <si>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</si>
  <si>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</si>
  <si>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</si>
  <si>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</si>
  <si>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</si>
  <si>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</si>
  <si>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</si>
  <si>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</si>
  <si>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</si>
  <si>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</si>
  <si>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</si>
  <si>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</si>
  <si>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</si>
  <si>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</si>
  <si>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</si>
  <si>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</si>
  <si>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</si>
  <si>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</si>
  <si>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</si>
  <si>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</si>
  <si>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</si>
  <si>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</si>
  <si>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</si>
  <si>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</si>
  <si>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</si>
  <si>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</si>
  <si>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</si>
  <si>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</si>
  <si>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</si>
  <si>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</si>
  <si>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</si>
  <si>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</si>
  <si>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</si>
  <si>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</si>
  <si>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</si>
  <si>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</si>
  <si>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</si>
  <si>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</si>
  <si>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</si>
  <si>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</si>
  <si>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</si>
  <si>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</si>
  <si>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</si>
  <si>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</si>
  <si>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</si>
  <si>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</si>
  <si>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</si>
  <si>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</si>
  <si>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</si>
  <si>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</si>
  <si>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</si>
  <si>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</si>
  <si>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</si>
  <si>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</si>
  <si>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</si>
  <si>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</si>
  <si>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</si>
  <si>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</si>
  <si>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</si>
  <si>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</si>
  <si>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</si>
  <si>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</si>
  <si>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</si>
  <si>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</si>
  <si>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</si>
  <si>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</si>
  <si>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</si>
  <si>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</si>
  <si>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</si>
  <si>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</si>
  <si>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</si>
  <si>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</si>
  <si>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</si>
  <si>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</si>
  <si>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</si>
  <si>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</si>
  <si>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</si>
  <si>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</si>
  <si>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</si>
  <si>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</si>
  <si>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</si>
  <si>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</si>
  <si>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</si>
  <si>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</si>
  <si>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</si>
  <si>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</si>
  <si>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</si>
  <si>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</si>
  <si>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</si>
  <si>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</si>
  <si>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</si>
  <si>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</si>
  <si>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</si>
  <si>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</si>
  <si>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</si>
  <si>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</si>
  <si>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</si>
  <si>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</si>
  <si>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</si>
  <si>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</si>
  <si>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</si>
  <si>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</si>
  <si>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</si>
  <si>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</si>
  <si>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</si>
  <si>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</si>
  <si>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</si>
  <si>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</si>
  <si>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</si>
  <si>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</si>
  <si>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</si>
  <si>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</si>
  <si>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</si>
  <si>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</si>
  <si>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</si>
  <si>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</si>
  <si>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</si>
  <si>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</si>
  <si>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</si>
  <si>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</si>
  <si>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</si>
  <si>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</si>
  <si>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</si>
  <si>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</si>
  <si>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</si>
  <si>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</si>
  <si>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Tjenestemandspensioner</t>
  </si>
  <si>
    <t>Periodevise driftsomkostninger under prisloftsbekendtgørelsen</t>
  </si>
  <si>
    <t>Ingen bortfald eller nedsættelse</t>
  </si>
  <si>
    <t>Beluftningstanke, Konstruktioner</t>
  </si>
  <si>
    <t>Beluftningstanke, Mek/EL</t>
  </si>
  <si>
    <t>Beluftningstanke, SRO</t>
  </si>
  <si>
    <t>Jordbassin Klasse B</t>
  </si>
  <si>
    <t>Ø 200 mm &lt; Ledningsnet ≤ Ø 500 mm</t>
  </si>
  <si>
    <t>Brønde</t>
  </si>
  <si>
    <t>Pumpestationer i brønde (&lt; 6,25 m2), Mek/EL</t>
  </si>
  <si>
    <t>60</t>
  </si>
  <si>
    <t>20</t>
  </si>
  <si>
    <t>10</t>
  </si>
  <si>
    <t>50</t>
  </si>
  <si>
    <t>75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</si>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</sst>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81396458.618492499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56028316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107</v>
      </c>
      <c r="C12" s="44"/>
      <c r="D12" s="45"/>
      <c r="E12" s="17">
        <f>E9-(E10-E11)</f>
        <v>25368142.618492499</v>
      </c>
      <c r="F12" s="25" t="s">
        <v>2</v>
      </c>
      <c r="G12" s="17">
        <f>E12</f>
        <v>25368142.618492499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4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59" t="s">
        <v>141</v>
      </c>
      <c r="C10" s="60" t="s">
        <v>148</v>
      </c>
      <c r="D10" s="11">
        <v>199130</v>
      </c>
      <c r="E10" s="11">
        <f>D10/C10</f>
        <v>3318.8333333333335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59" t="s">
        <v>142</v>
      </c>
      <c r="C11" s="60" t="s">
        <v>149</v>
      </c>
      <c r="D11" s="11">
        <v>617199</v>
      </c>
      <c r="E11" s="11">
        <f t="shared" ref="E11:E16" si="0">D11/C11</f>
        <v>30859.95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59" t="s">
        <v>143</v>
      </c>
      <c r="C12" s="60" t="s">
        <v>150</v>
      </c>
      <c r="D12" s="11">
        <v>71063</v>
      </c>
      <c r="E12" s="11">
        <f t="shared" si="0"/>
        <v>7106.3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59" t="s">
        <v>144</v>
      </c>
      <c r="C13" s="60" t="s">
        <v>151</v>
      </c>
      <c r="D13" s="11">
        <v>348422</v>
      </c>
      <c r="E13" s="11">
        <f t="shared" si="0"/>
        <v>6968.44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59" t="s">
        <v>145</v>
      </c>
      <c r="C14" s="60" t="s">
        <v>152</v>
      </c>
      <c r="D14" s="11">
        <v>3606017</v>
      </c>
      <c r="E14" s="11">
        <f t="shared" si="0"/>
        <v>48080.226666666669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59" t="s">
        <v>144</v>
      </c>
      <c r="C15" s="60" t="s">
        <v>151</v>
      </c>
      <c r="D15" s="11">
        <v>918570</v>
      </c>
      <c r="E15" s="11">
        <f t="shared" si="0"/>
        <v>18371.400000000001</v>
      </c>
      <c r="F15" s="11">
        <v>0</v>
      </c>
      <c r="G15" s="11">
        <v>0</v>
      </c>
      <c r="H15" s="22" t="s">
        <v>2</v>
      </c>
      <c r="I15" s="1"/>
    </row>
    <row r="16" spans="1:9" x14ac:dyDescent="0.25">
      <c r="A16" s="1"/>
      <c r="B16" s="59" t="s">
        <v>146</v>
      </c>
      <c r="C16" s="60" t="s">
        <v>152</v>
      </c>
      <c r="D16" s="11">
        <v>109091</v>
      </c>
      <c r="E16" s="11">
        <f t="shared" si="0"/>
        <v>1454.5466666666666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59" t="s">
        <v>145</v>
      </c>
      <c r="C17" s="60" t="s">
        <v>152</v>
      </c>
      <c r="D17" s="11">
        <v>2656593</v>
      </c>
      <c r="E17" s="11">
        <f t="shared" ref="E17:E18" si="1">D17/C17</f>
        <v>35421.24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59" t="s">
        <v>147</v>
      </c>
      <c r="C18" s="60" t="s">
        <v>149</v>
      </c>
      <c r="D18" s="11">
        <v>92080</v>
      </c>
      <c r="E18" s="11">
        <f t="shared" si="1"/>
        <v>4604</v>
      </c>
      <c r="F18" s="11">
        <v>0</v>
      </c>
      <c r="G18" s="11">
        <v>0</v>
      </c>
      <c r="H18" s="22" t="s">
        <v>2</v>
      </c>
      <c r="I18" s="1"/>
    </row>
    <row r="19" spans="1:9" x14ac:dyDescent="0.25">
      <c r="A19" s="1"/>
      <c r="B19" s="89" t="s">
        <v>131</v>
      </c>
      <c r="C19" s="90"/>
      <c r="D19" s="91"/>
      <c r="E19" s="20">
        <f>SUM(E10:E18)</f>
        <v>156184.93666666665</v>
      </c>
      <c r="F19" s="20">
        <f>SUM(F10:F18)</f>
        <v>0</v>
      </c>
      <c r="G19" s="20">
        <f>SUM(G10:G18)</f>
        <v>0</v>
      </c>
      <c r="H19" s="21" t="s">
        <v>2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</sheetData>
  <sheetProtection password="DFE9" sheet="1" objects="1" scenarios="1"/>
  <mergeCells count="3">
    <mergeCell ref="B3:H4"/>
    <mergeCell ref="B8:H8"/>
    <mergeCell ref="B19:D19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127</v>
      </c>
      <c r="C10" s="55"/>
      <c r="D10" s="56">
        <f>'Fane 8. Anlægsprojekter'!F19</f>
        <v>0</v>
      </c>
      <c r="E10" s="22" t="s">
        <v>2</v>
      </c>
      <c r="F10" s="11">
        <f>SUM('Fane 8. Anlægsprojekter'!E19,'Fane 8. Anlægsprojekter'!G19)</f>
        <v>156184.93666666665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156184.93666666665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158824.4620963333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153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140</v>
      </c>
      <c r="C10" s="6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154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2" t="s">
        <v>44</v>
      </c>
      <c r="C9" s="63"/>
      <c r="D9" s="63"/>
      <c r="E9" s="64"/>
      <c r="F9" s="57">
        <v>1.7500000000000002E-2</v>
      </c>
      <c r="G9" s="58"/>
      <c r="H9" s="1"/>
    </row>
    <row r="10" spans="1:8" x14ac:dyDescent="0.25">
      <c r="A10" s="1"/>
      <c r="B10" s="62" t="s">
        <v>45</v>
      </c>
      <c r="C10" s="63"/>
      <c r="D10" s="63"/>
      <c r="E10" s="64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2" t="s">
        <v>13</v>
      </c>
      <c r="C14" s="63"/>
      <c r="D14" s="63"/>
      <c r="E14" s="64"/>
      <c r="F14" s="57">
        <v>1.3315537388260877E-2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5" t="s">
        <v>49</v>
      </c>
      <c r="C9" s="7">
        <f>'Fane 3. Omkostninger i ØR2018'!G13</f>
        <v>69893057.300817639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Tillæg'!F12</f>
        <v>158824.4620963333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1225812.6361737368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-949100.80472008535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-582859.30998945516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-768038.45152571087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68977695.832852453</v>
      </c>
      <c r="D18" s="18" t="s">
        <v>2</v>
      </c>
      <c r="E18" s="17">
        <f>C18</f>
        <v>68977695.832852453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2" t="s">
        <v>22</v>
      </c>
      <c r="C24" s="11">
        <f>'Fane 4. Ikke-påvirkelige omk.'!E17</f>
        <v>3149881.0740214642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3149881.0740214642</v>
      </c>
      <c r="D26" s="18" t="s">
        <v>2</v>
      </c>
      <c r="E26" s="17">
        <f>C26</f>
        <v>3149881.0740214642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6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6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2" t="s">
        <v>52</v>
      </c>
      <c r="C30" s="7">
        <v>27001.668373060667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3" t="s">
        <v>53</v>
      </c>
      <c r="C31" s="17">
        <f>SUM(C28:C30)</f>
        <v>27001.668373060667</v>
      </c>
      <c r="D31" s="18" t="s">
        <v>2</v>
      </c>
      <c r="E31" s="17">
        <f>C31</f>
        <v>27001.668373060667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3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72154578.575246975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65" t="s">
        <v>55</v>
      </c>
      <c r="C9" s="7">
        <f>'Fane 2.1. Økonomisk ramme 2019'!E18</f>
        <v>68977695.832852453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1165723.0595752064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-933997.31680256478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-580855.43968171126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-377095.49229240796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68251470.643650979</v>
      </c>
      <c r="D14" s="18" t="s">
        <v>2</v>
      </c>
      <c r="E14" s="17">
        <f>C14</f>
        <v>68251470.643650979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2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2" t="s">
        <v>22</v>
      </c>
      <c r="C20" s="11">
        <f>'Fane 4. Ikke-påvirkelige omk.'!E17*(1+Prisudvikling2019)</f>
        <v>3203114.0641724267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3203114.0641724267</v>
      </c>
      <c r="D22" s="18" t="s">
        <v>2</v>
      </c>
      <c r="E22" s="17">
        <f>C22</f>
        <v>3203114.0641724267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71454584.707823411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5" t="s">
        <v>57</v>
      </c>
      <c r="C9" s="7">
        <f>'Fane 2.2. Økonomisk ramme 2020'!E14</f>
        <v>68251470.643650979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1153449.8538777013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-924163.81381411699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-578858.45868008549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-380132.23097897391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67521765.99405551</v>
      </c>
      <c r="D14" s="18" t="s">
        <v>2</v>
      </c>
      <c r="E14" s="17">
        <f>C14</f>
        <v>67521765.99405551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2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omk.'!E17*(1+Prisudvikling2019)^2</f>
        <v>3257246.6918569403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3257246.6918569403</v>
      </c>
      <c r="D22" s="18" t="s">
        <v>2</v>
      </c>
      <c r="E22" s="17">
        <f>C22</f>
        <v>3257246.6918569403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70779012.685912445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5" t="s">
        <v>58</v>
      </c>
      <c r="C8" s="7">
        <f>'Fane 2.3. Økonomisk ramme 2021'!E14</f>
        <v>67521765.99405551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1141117.845299538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-914283.19694874575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-576868.34329914325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-383193.42443108064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66788538.874676071</v>
      </c>
      <c r="D13" s="18" t="s">
        <v>2</v>
      </c>
      <c r="E13" s="17">
        <f>C13</f>
        <v>66788538.874676071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2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2" t="s">
        <v>22</v>
      </c>
      <c r="C19" s="11">
        <f>'Fane 4. Ikke-påvirkelige omk.'!E17*(1+Prisudvikling2019)^3</f>
        <v>3312294.1609493219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2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3312294.1609493219</v>
      </c>
      <c r="D21" s="18" t="s">
        <v>2</v>
      </c>
      <c r="E21" s="17">
        <f>C21</f>
        <v>3312294.1609493219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70100833.035625398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32</v>
      </c>
      <c r="C9" s="63"/>
      <c r="D9" s="63"/>
      <c r="E9" s="63"/>
      <c r="F9" s="64"/>
      <c r="G9" s="11">
        <v>72332369.162810311</v>
      </c>
      <c r="H9" s="22" t="s">
        <v>2</v>
      </c>
      <c r="I9" s="1"/>
    </row>
    <row r="10" spans="1:9" x14ac:dyDescent="0.25">
      <c r="A10" s="1"/>
      <c r="B10" s="46" t="s">
        <v>73</v>
      </c>
      <c r="C10" s="63"/>
      <c r="D10" s="63"/>
      <c r="E10" s="63"/>
      <c r="F10" s="64"/>
      <c r="G10" s="11">
        <v>0</v>
      </c>
      <c r="H10" s="22" t="s">
        <v>2</v>
      </c>
      <c r="I10" s="1"/>
    </row>
    <row r="11" spans="1:9" x14ac:dyDescent="0.25">
      <c r="A11" s="1"/>
      <c r="B11" s="46" t="s">
        <v>48</v>
      </c>
      <c r="C11" s="63"/>
      <c r="D11" s="63"/>
      <c r="E11" s="63"/>
      <c r="F11" s="64"/>
      <c r="G11" s="11">
        <v>2439311.8619926781</v>
      </c>
      <c r="H11" s="22" t="s">
        <v>2</v>
      </c>
      <c r="I11" s="1"/>
    </row>
    <row r="12" spans="1:9" x14ac:dyDescent="0.25">
      <c r="A12" s="1"/>
      <c r="B12" s="46" t="s">
        <v>75</v>
      </c>
      <c r="C12" s="63"/>
      <c r="D12" s="63"/>
      <c r="E12" s="63"/>
      <c r="F12" s="64"/>
      <c r="G12" s="11">
        <v>0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69893057.300817639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111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1525824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51728</v>
      </c>
      <c r="F11" s="22" t="s">
        <v>2</v>
      </c>
      <c r="G11" s="1"/>
      <c r="H11" s="1"/>
    </row>
    <row r="12" spans="1:8" ht="27" customHeight="1" x14ac:dyDescent="0.25">
      <c r="A12" s="1"/>
      <c r="B12" s="96" t="s">
        <v>135</v>
      </c>
      <c r="C12" s="97"/>
      <c r="D12" s="98"/>
      <c r="E12" s="11">
        <v>663211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92516.45</v>
      </c>
      <c r="F13" s="22" t="s">
        <v>2</v>
      </c>
      <c r="G13" s="1"/>
      <c r="H13" s="1"/>
    </row>
    <row r="14" spans="1:8" x14ac:dyDescent="0.25">
      <c r="A14" s="1"/>
      <c r="B14" s="93" t="s">
        <v>137</v>
      </c>
      <c r="C14" s="94"/>
      <c r="D14" s="95"/>
      <c r="E14" s="11">
        <v>525479</v>
      </c>
      <c r="F14" s="22" t="s">
        <v>2</v>
      </c>
      <c r="G14" s="1"/>
      <c r="H14" s="1"/>
    </row>
    <row r="15" spans="1:8" x14ac:dyDescent="0.25">
      <c r="A15" s="1"/>
      <c r="B15" s="93" t="s">
        <v>138</v>
      </c>
      <c r="C15" s="94"/>
      <c r="D15" s="95"/>
      <c r="E15" s="11">
        <v>187296</v>
      </c>
      <c r="F15" s="22" t="s">
        <v>2</v>
      </c>
      <c r="G15" s="1"/>
      <c r="H15" s="1"/>
    </row>
    <row r="16" spans="1:8" x14ac:dyDescent="0.25">
      <c r="A16" s="1"/>
      <c r="B16" s="89" t="s">
        <v>128</v>
      </c>
      <c r="C16" s="90"/>
      <c r="D16" s="91"/>
      <c r="E16" s="20">
        <f>SUM(E10:E15)</f>
        <v>3046054.45</v>
      </c>
      <c r="F16" s="21" t="s">
        <v>2</v>
      </c>
      <c r="G16" s="1"/>
      <c r="H16" s="1"/>
    </row>
    <row r="17" spans="1:8" x14ac:dyDescent="0.25">
      <c r="A17" s="1"/>
      <c r="B17" s="89" t="s">
        <v>129</v>
      </c>
      <c r="C17" s="90"/>
      <c r="D17" s="91"/>
      <c r="E17" s="20">
        <f>E16*(1+Prisudvikling2019)^2</f>
        <v>3149881.0740214642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9">
    <mergeCell ref="B3:F4"/>
    <mergeCell ref="B16:D16"/>
    <mergeCell ref="B17:D17"/>
    <mergeCell ref="B10:D10"/>
    <mergeCell ref="B14:D14"/>
    <mergeCell ref="B15:D15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82</v>
      </c>
      <c r="C9" s="63"/>
      <c r="D9" s="63"/>
      <c r="E9" s="63"/>
      <c r="F9" s="64"/>
      <c r="G9" s="52">
        <v>584525.20682891749</v>
      </c>
      <c r="H9" s="22" t="s">
        <v>2</v>
      </c>
      <c r="I9" s="1"/>
    </row>
    <row r="10" spans="1:9" x14ac:dyDescent="0.25">
      <c r="A10" s="1"/>
      <c r="B10" s="62" t="s">
        <v>83</v>
      </c>
      <c r="C10" s="63"/>
      <c r="D10" s="63"/>
      <c r="E10" s="63"/>
      <c r="F10" s="64"/>
      <c r="G10" s="52">
        <f>G9/GenereltKravDrift2018</f>
        <v>29226260.341445874</v>
      </c>
      <c r="H10" s="22" t="s">
        <v>2</v>
      </c>
      <c r="I10" s="1"/>
    </row>
    <row r="11" spans="1:9" x14ac:dyDescent="0.25">
      <c r="A11" s="1"/>
      <c r="B11" s="62" t="s">
        <v>84</v>
      </c>
      <c r="C11" s="63"/>
      <c r="D11" s="63"/>
      <c r="E11" s="63"/>
      <c r="F11" s="64"/>
      <c r="G11" s="52">
        <v>767024.31739060057</v>
      </c>
      <c r="H11" s="22" t="s">
        <v>2</v>
      </c>
      <c r="I11" s="1"/>
    </row>
    <row r="12" spans="1:9" x14ac:dyDescent="0.25">
      <c r="A12" s="1"/>
      <c r="B12" s="62" t="s">
        <v>85</v>
      </c>
      <c r="C12" s="63"/>
      <c r="D12" s="63"/>
      <c r="E12" s="63"/>
      <c r="F12" s="64"/>
      <c r="G12" s="52">
        <f>G11/GenereltKravAnlæg2018</f>
        <v>43334707.197209068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3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3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3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17</v>
      </c>
      <c r="C9" s="63"/>
      <c r="D9" s="63"/>
      <c r="E9" s="63"/>
      <c r="F9" s="64"/>
      <c r="G9" s="11">
        <v>-10316351</v>
      </c>
      <c r="H9" s="22" t="s">
        <v>2</v>
      </c>
      <c r="I9" s="1"/>
    </row>
    <row r="10" spans="1:9" x14ac:dyDescent="0.25">
      <c r="A10" s="1"/>
      <c r="B10" s="62" t="s">
        <v>46</v>
      </c>
      <c r="C10" s="63"/>
      <c r="D10" s="63"/>
      <c r="E10" s="63"/>
      <c r="F10" s="64"/>
      <c r="G10" s="11">
        <v>-10316351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0</v>
      </c>
      <c r="H11" s="26" t="s">
        <v>2</v>
      </c>
      <c r="I11" s="1"/>
    </row>
    <row r="12" spans="1:9" x14ac:dyDescent="0.25">
      <c r="A12" s="1"/>
      <c r="B12" s="62" t="s">
        <v>18</v>
      </c>
      <c r="C12" s="63"/>
      <c r="D12" s="63"/>
      <c r="E12" s="63"/>
      <c r="F12" s="6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2018-08-28T07:58:49Z</dcterms:modified>
</cp:coreProperties>
</file>